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1"/>
  </bookViews>
  <sheets>
    <sheet name="Hoja1" sheetId="1" r:id="rId1"/>
    <sheet name="Hoja3 (35)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<sst xmlns="http://schemas.openxmlformats.org/spreadsheetml/2006/main" count="1660" uniqueCount="389">
  <si>
    <t>E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</si>
  <si>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</si>
  <si>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</si>
  <si>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</si>
  <si>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</si>
  <si>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</si>
  <si>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</si>
  <si>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</si>
  <si>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</si>
  <si>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</si>
  <si>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</si>
  <si>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</si>
  <si>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</si>
  <si>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</si>
  <si>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</si>
  <si>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</si>
  <si>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</si>
  <si>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Productividad</t>
  </si>
  <si>
    <t>C. de Puesto</t>
  </si>
  <si>
    <t>AGENCIA PARA EL EMPLEO</t>
  </si>
  <si>
    <t>Sueldo</t>
  </si>
  <si>
    <t>Fondo Convenio</t>
  </si>
  <si>
    <t>Homologación</t>
  </si>
  <si>
    <t>C. Personal</t>
  </si>
  <si>
    <t>C. Puesto</t>
  </si>
  <si>
    <t>Salario Base</t>
  </si>
  <si>
    <t>Art. 34 S/C</t>
  </si>
  <si>
    <t>de Trabajo</t>
  </si>
  <si>
    <t>PATRONATO DE TURISMO</t>
  </si>
  <si>
    <t>a/c Convenio</t>
  </si>
  <si>
    <t>C.U. 2006</t>
  </si>
  <si>
    <t>C.U. 2007</t>
  </si>
  <si>
    <t>Dedicación Especial</t>
  </si>
  <si>
    <t>Plus Turnos</t>
  </si>
  <si>
    <t>Compl. Convenio Unico</t>
  </si>
  <si>
    <t>C.R.C.U.P.</t>
  </si>
  <si>
    <t>Complemento</t>
  </si>
  <si>
    <t>AGENCIA TRIBUTARIA</t>
  </si>
  <si>
    <t>Compl. C.U. 2006</t>
  </si>
  <si>
    <t>C.A.R.P.T.</t>
  </si>
  <si>
    <t>Transitorio</t>
  </si>
  <si>
    <t>a/c Conveno 2006</t>
  </si>
  <si>
    <t>Retrib. Variable</t>
  </si>
  <si>
    <t>OAIC</t>
  </si>
  <si>
    <t>a/c Convenio 2007</t>
  </si>
  <si>
    <t>Plus Secret. Dirección</t>
  </si>
  <si>
    <t>Plus Secret. Area</t>
  </si>
  <si>
    <t xml:space="preserve">Retribuciones Básicas </t>
  </si>
  <si>
    <t>a/c C.U. 06/07</t>
  </si>
  <si>
    <t>Plus Rotación</t>
  </si>
  <si>
    <t>INFORMÁTICA AYTO. MADRID</t>
  </si>
  <si>
    <t>Fondo Mejora de</t>
  </si>
  <si>
    <t>Plus Prolongación</t>
  </si>
  <si>
    <t>Rendimiento</t>
  </si>
  <si>
    <t>(Jefe Sala)</t>
  </si>
  <si>
    <t>C. Trabajo Función</t>
  </si>
  <si>
    <t>C.P.T.</t>
  </si>
  <si>
    <t>C.N.R.J.</t>
  </si>
  <si>
    <t>Dedicación Plena</t>
  </si>
  <si>
    <t>Fondo 2006</t>
  </si>
  <si>
    <t>Actividad</t>
  </si>
  <si>
    <t>INSTALACIONES DEPORTIVAS</t>
  </si>
  <si>
    <t xml:space="preserve">Fondo </t>
  </si>
  <si>
    <t>Mejora</t>
  </si>
  <si>
    <t>MADRID EMPRENDE</t>
  </si>
  <si>
    <t xml:space="preserve">R. Básicas </t>
  </si>
  <si>
    <t>C. Específico</t>
  </si>
  <si>
    <t>AYTO</t>
  </si>
  <si>
    <t>SUELDO O S. BASE</t>
  </si>
  <si>
    <t>0800_CESPEC/OPT</t>
  </si>
  <si>
    <t>0843_FCU/FCU2006</t>
  </si>
  <si>
    <t>0946_CONVECN</t>
  </si>
  <si>
    <t>0943_ACTIV</t>
  </si>
  <si>
    <t>0944_LINEAL0945DESTINO</t>
  </si>
  <si>
    <t>1200_MEJRTO1251INCENT.</t>
  </si>
  <si>
    <t>1252_VOLUNT</t>
  </si>
  <si>
    <t>GRUPO I</t>
  </si>
  <si>
    <t>RETRIBUCION</t>
  </si>
  <si>
    <t>SALARIO</t>
  </si>
  <si>
    <t>C.P.</t>
  </si>
  <si>
    <t>PUESTOS</t>
  </si>
  <si>
    <t>CATEGORIA</t>
  </si>
  <si>
    <t>BASE</t>
  </si>
  <si>
    <t>TIPO</t>
  </si>
  <si>
    <t>ORG.</t>
  </si>
  <si>
    <t>CAT.</t>
  </si>
  <si>
    <t>DENOMINACION PUESTO ACTUAL</t>
  </si>
  <si>
    <t>Nº</t>
  </si>
  <si>
    <t>S.BASE.</t>
  </si>
  <si>
    <t>COMPL.</t>
  </si>
  <si>
    <t>COMPL,</t>
  </si>
  <si>
    <t>COMPL</t>
  </si>
  <si>
    <t>DIF.</t>
  </si>
  <si>
    <t>R.T.1.</t>
  </si>
  <si>
    <t>S.B.2.</t>
  </si>
  <si>
    <t>R.T.2.</t>
  </si>
  <si>
    <t>R.T.1.-R.T.2</t>
  </si>
  <si>
    <t>A1</t>
  </si>
  <si>
    <t>T.SUPERIOR ADMINISTRACION GENERAL</t>
  </si>
  <si>
    <t>JEFE DE SERVICIO</t>
  </si>
  <si>
    <t>IAM</t>
  </si>
  <si>
    <t>TSAG</t>
  </si>
  <si>
    <t>Director Administrativo y de Personal</t>
  </si>
  <si>
    <t>Director Económico Financiero</t>
  </si>
  <si>
    <t>AT</t>
  </si>
  <si>
    <t>Jefe Grupo A1</t>
  </si>
  <si>
    <t>T.SUPERIOR INFORMÁTICA</t>
  </si>
  <si>
    <t>TSIN</t>
  </si>
  <si>
    <t>Director de Desarrollo</t>
  </si>
  <si>
    <t>Director de Soporte a los Servicios</t>
  </si>
  <si>
    <t>Director de Telecomunicaciones</t>
  </si>
  <si>
    <t>Director de Producción</t>
  </si>
  <si>
    <t>Director de Sistemas y Tecnología</t>
  </si>
  <si>
    <t>JEFE DE DEPARTAMENTO</t>
  </si>
  <si>
    <t>AEM</t>
  </si>
  <si>
    <t>TG1</t>
  </si>
  <si>
    <t>TG1/Jefee de Area/ Nivel 1</t>
  </si>
  <si>
    <t>IDM</t>
  </si>
  <si>
    <t>Jefe Departamento</t>
  </si>
  <si>
    <t>Jefe Grupo A2</t>
  </si>
  <si>
    <t>Dir. Adm. Fin.</t>
  </si>
  <si>
    <t>Jefe Dpto.</t>
  </si>
  <si>
    <t>T.SUPERIOR TITULACIÓN ESPECÍFICA</t>
  </si>
  <si>
    <t>TSTE</t>
  </si>
  <si>
    <t>Dir. Ingeniero</t>
  </si>
  <si>
    <t>Subdirector</t>
  </si>
  <si>
    <t>Jefe Departamento-A</t>
  </si>
  <si>
    <t>T.SUPERIOR ACTIVIDADES TURÍSTICAS</t>
  </si>
  <si>
    <t>PT</t>
  </si>
  <si>
    <t>TSAT</t>
  </si>
  <si>
    <t>Jefe A (Jef. Ofic. Municipal)</t>
  </si>
  <si>
    <t>Jefe A (Jefe Administrativo)</t>
  </si>
  <si>
    <t>Jefe A (Jefa Prom.Turist.C.)</t>
  </si>
  <si>
    <t>CONSEJERO TECNICO GRUPO I</t>
  </si>
  <si>
    <t>Abogada</t>
  </si>
  <si>
    <t>Titulado Superior</t>
  </si>
  <si>
    <t>JEFE DE UNIDAD TECNICA</t>
  </si>
  <si>
    <t>Jefe Servicio</t>
  </si>
  <si>
    <t>TSAG/TSAD</t>
  </si>
  <si>
    <t>Director de Instalacion</t>
  </si>
  <si>
    <t>Contable Caja</t>
  </si>
  <si>
    <t>Jefe de Area</t>
  </si>
  <si>
    <t>Jefe de Desarrollo</t>
  </si>
  <si>
    <t>Ingeniero de Sistemas</t>
  </si>
  <si>
    <t>Jefe A (Jefa Contabilidad)</t>
  </si>
  <si>
    <t>TECNICO ASESOR GRUPO I</t>
  </si>
  <si>
    <t>Técnico Asesor</t>
  </si>
  <si>
    <t>Tec. As. Médico</t>
  </si>
  <si>
    <t>JEFE DE SECCION TIPO I</t>
  </si>
  <si>
    <t>Jefe de Sección</t>
  </si>
  <si>
    <t>JEFE DE SECCION TIPO I/JEFE DE PROYECTOS</t>
  </si>
  <si>
    <t>Jefe de Grupo B</t>
  </si>
  <si>
    <t>Jefe Proyectos</t>
  </si>
  <si>
    <t>Técnico de Sistemas</t>
  </si>
  <si>
    <t>Jefe de Sistemas</t>
  </si>
  <si>
    <t>TITULADO SUPERIOR</t>
  </si>
  <si>
    <t>TECNICO ADJUNTO</t>
  </si>
  <si>
    <t>JEFE DE SUBSECCION GRUPO I</t>
  </si>
  <si>
    <t>Tit. Sup. D.M.</t>
  </si>
  <si>
    <t>T.A.G.</t>
  </si>
  <si>
    <t>Jefe 1 Jefe. D.</t>
  </si>
  <si>
    <t>TÉCNICO SUPERIOR</t>
  </si>
  <si>
    <t>Técnico de Estudios</t>
  </si>
  <si>
    <t>Licenciado</t>
  </si>
  <si>
    <t>Analista de Sistemas</t>
  </si>
  <si>
    <t>Analista de Aplicaciones</t>
  </si>
  <si>
    <t>T.SUPERIOR ACTIVIDADES DEPORTIVAS</t>
  </si>
  <si>
    <t>TS LEF</t>
  </si>
  <si>
    <t>Titulado Sup. (L.E.F.)</t>
  </si>
  <si>
    <t>TS TE</t>
  </si>
  <si>
    <t>Titulado Sup. Médico</t>
  </si>
  <si>
    <t>Titulado Superior (con C.P.T.)</t>
  </si>
  <si>
    <t xml:space="preserve"> Titulado Superior (sin C.P.T.)</t>
  </si>
  <si>
    <t>Lic. Psicologia</t>
  </si>
  <si>
    <t xml:space="preserve">GRUPO </t>
  </si>
  <si>
    <t>GRUPOII</t>
  </si>
  <si>
    <t>A2</t>
  </si>
  <si>
    <t>T.MEDIO ADMINISTRACIÓN GENERAL</t>
  </si>
  <si>
    <t>JEFE DE UNIDAD GRUPO II /CONSEJERO TÉCNICO GRUPO II</t>
  </si>
  <si>
    <t>TMAG</t>
  </si>
  <si>
    <t>Técnico G2 JEFE PROG. Y PLAN.</t>
  </si>
  <si>
    <t>Técnico G2 R. UN/APOYO/INSP.</t>
  </si>
  <si>
    <t>JEFE DE SECCIÓN GRUPO II</t>
  </si>
  <si>
    <t>Técnico G3 Jefe PROG. Y PLAN.</t>
  </si>
  <si>
    <t>Técnico G3 R. UN/APOYO/INSP.</t>
  </si>
  <si>
    <t>Jefe 1ª Administrativo</t>
  </si>
  <si>
    <t>JEFE DE SUBSECCION GRUPO II</t>
  </si>
  <si>
    <t>Jefe Sección A</t>
  </si>
  <si>
    <t>Jefe Sección B</t>
  </si>
  <si>
    <t>Jefe Sección C</t>
  </si>
  <si>
    <t>TMAT</t>
  </si>
  <si>
    <t>Jefe B</t>
  </si>
  <si>
    <t>TECNICO ASESOR GRUPO II</t>
  </si>
  <si>
    <t>TECNICO DE GESTION ADJUNTO</t>
  </si>
  <si>
    <t>T.MEDIO INFORMÁTICA</t>
  </si>
  <si>
    <t>RESPONSABLE GESTION GRUPO II</t>
  </si>
  <si>
    <t>TMIN</t>
  </si>
  <si>
    <t>Analista Programador</t>
  </si>
  <si>
    <t>Analista-Programador</t>
  </si>
  <si>
    <t>Analista-Programador Departamental</t>
  </si>
  <si>
    <t>Especialista de Sistemas</t>
  </si>
  <si>
    <t>Jefe de Operaciones</t>
  </si>
  <si>
    <t>Jefe de Sala</t>
  </si>
  <si>
    <t>TECNICO GESTION/ MEDIO/ ANLISTA INFORMÁTICO</t>
  </si>
  <si>
    <t>Técnico</t>
  </si>
  <si>
    <t>Tecn. Gest. B</t>
  </si>
  <si>
    <t>Programador de Sistemas</t>
  </si>
  <si>
    <t>Programador Aplicaciones Senior</t>
  </si>
  <si>
    <t>Programador Aplic. Senior Departamental</t>
  </si>
  <si>
    <t>Técnico Departamental</t>
  </si>
  <si>
    <t>Técnico de Producción</t>
  </si>
  <si>
    <t>Oficial 1ª Controlador de Calidad</t>
  </si>
  <si>
    <t>Titulado Medio (con C.P.T.)</t>
  </si>
  <si>
    <t>T.MEDIO PROMOCION ECONÓMICA/EMPLEO</t>
  </si>
  <si>
    <t>MEM</t>
  </si>
  <si>
    <t>TMPE</t>
  </si>
  <si>
    <t>Asesor de Emprendimiento</t>
  </si>
  <si>
    <t>Técnicos de Empleo(d.a.8ª)</t>
  </si>
  <si>
    <t>T.MEDIO TITULACION ESPECÍFICA</t>
  </si>
  <si>
    <t>TM DUE</t>
  </si>
  <si>
    <t>Titulados medios (ATS)</t>
  </si>
  <si>
    <t>TM</t>
  </si>
  <si>
    <t>Titulado Medio (sin C.P.T.)</t>
  </si>
  <si>
    <t>TMTE</t>
  </si>
  <si>
    <t>Ing. Tec. Ind.</t>
  </si>
  <si>
    <t>As. Tec. Museo</t>
  </si>
  <si>
    <t>GRUPO III</t>
  </si>
  <si>
    <t>C1</t>
  </si>
  <si>
    <t>T. ESPECIALISTA ADMINISTRACIÓN GENERAL</t>
  </si>
  <si>
    <t>TEAG</t>
  </si>
  <si>
    <t>TG4 Apoyo (4) Dir.Esc.(3) Resp.Unidad (12)</t>
  </si>
  <si>
    <t>Jefe Grupo C</t>
  </si>
  <si>
    <t>Jefe Grupo C OAIC</t>
  </si>
  <si>
    <t>RESPONSABLE GESTION GRUPO III</t>
  </si>
  <si>
    <t>SECRETARÍA DE DIRECCION D.GRALES./GERENTES</t>
  </si>
  <si>
    <t>TEAG/AT</t>
  </si>
  <si>
    <t>Oficial 1ª Secr. Dir.</t>
  </si>
  <si>
    <t>Técnico G5 Secr. Dirección</t>
  </si>
  <si>
    <t>JEFE DE NEGOCIADO</t>
  </si>
  <si>
    <t>Técnico G4sin Complemento</t>
  </si>
  <si>
    <t>Técnico G5 Apoyo con Complem.</t>
  </si>
  <si>
    <t>TG5 sin Complemento</t>
  </si>
  <si>
    <t>Encargado/a</t>
  </si>
  <si>
    <t>T.ESPECIALISTA ACTIVIDADES TURÍSTICAS</t>
  </si>
  <si>
    <t>Oficial 1ª</t>
  </si>
  <si>
    <t>Jefe de Grupo D</t>
  </si>
  <si>
    <t>Jefe Negociado</t>
  </si>
  <si>
    <t>T.ESPECIALISTA ACTIVIDADES DEPORTIVAS</t>
  </si>
  <si>
    <t>TEAD</t>
  </si>
  <si>
    <t>Promotor Deportivo</t>
  </si>
  <si>
    <t>Administrativo C/J</t>
  </si>
  <si>
    <t xml:space="preserve"> ADJUNTO DE SECRETARÍA DIRECCION /NEGOCIADO</t>
  </si>
  <si>
    <t>Técnico G5 Secr. Servicios</t>
  </si>
  <si>
    <t>Ofic. Recaud. 2ª Plus Dirección</t>
  </si>
  <si>
    <t>Jefe 2ª Administrativo</t>
  </si>
  <si>
    <t>Jefe 3ª Administrativo</t>
  </si>
  <si>
    <t>T.ESPECIALISTA INFORMÁTICA</t>
  </si>
  <si>
    <t>TEIN</t>
  </si>
  <si>
    <t>Diseñador Creativo</t>
  </si>
  <si>
    <t>Monitor</t>
  </si>
  <si>
    <t>Operador de Consola</t>
  </si>
  <si>
    <t>Programador de Aplicaciones</t>
  </si>
  <si>
    <t xml:space="preserve"> Administrativo</t>
  </si>
  <si>
    <t>Operador de Red</t>
  </si>
  <si>
    <t>Responsable Preparación y Envio</t>
  </si>
  <si>
    <t>Controlador de Calidad</t>
  </si>
  <si>
    <t>JEFE GRUPO/TECNICO ESPECIALISTA DE APOYO</t>
  </si>
  <si>
    <t>ADMINISTRATIVO/PROGRAMADOR/OPERADOR/DELINEANTE</t>
  </si>
  <si>
    <t>Tecnico Especialista 1</t>
  </si>
  <si>
    <t>TG5 con Complemento Gral.</t>
  </si>
  <si>
    <t>Administrativo(con compl)</t>
  </si>
  <si>
    <t>Administrativo(sin compl)</t>
  </si>
  <si>
    <t>Oficial 1ª Administrativo</t>
  </si>
  <si>
    <t>Ofic.de  Recaudación 2ª</t>
  </si>
  <si>
    <t>Ofic. Recaud. 2ª OAIC</t>
  </si>
  <si>
    <t>Oficial 2ª Administrativo</t>
  </si>
  <si>
    <t>Of. Administrativo</t>
  </si>
  <si>
    <t>Of. Primera Admvo.</t>
  </si>
  <si>
    <t>T. Gestión-C</t>
  </si>
  <si>
    <t>Of. Admvo./Secr.</t>
  </si>
  <si>
    <t>Administrativo</t>
  </si>
  <si>
    <t>Delineante</t>
  </si>
  <si>
    <t>Oficial 2ª</t>
  </si>
  <si>
    <t>Operador Departamental</t>
  </si>
  <si>
    <t>Operador de Perifericos</t>
  </si>
  <si>
    <t>Operador Senior</t>
  </si>
  <si>
    <t>Programador Junior</t>
  </si>
  <si>
    <t>Ayudante de Monitor</t>
  </si>
  <si>
    <t>Oficial 2ª  Digitalizacion</t>
  </si>
  <si>
    <t>Operador de Sistemas</t>
  </si>
  <si>
    <t>Técnico Deportivo Nivel 1</t>
  </si>
  <si>
    <t>Técnico Deportivo Nivel 2</t>
  </si>
  <si>
    <t>Pil. Catamar.</t>
  </si>
  <si>
    <t>GRUPO IV</t>
  </si>
  <si>
    <t>C2</t>
  </si>
  <si>
    <t>T.AUXILIAR ADMINISTRACION GENERAL</t>
  </si>
  <si>
    <t>RESPONSABLE DE SECRETARÍA/ OFICINA</t>
  </si>
  <si>
    <t>TAAG</t>
  </si>
  <si>
    <t>Secretaria de Dirección</t>
  </si>
  <si>
    <t>Encargado Oficina Auxiliar</t>
  </si>
  <si>
    <t>Jefe Equipo</t>
  </si>
  <si>
    <t>Auxiliar de Dirección</t>
  </si>
  <si>
    <t>Auxiliar de Área</t>
  </si>
  <si>
    <t>Auxiliar Administrativo</t>
  </si>
  <si>
    <t>SOCORRISTA</t>
  </si>
  <si>
    <t>TAAD</t>
  </si>
  <si>
    <t>Técnico Deportivo Vigilante</t>
  </si>
  <si>
    <t xml:space="preserve">T.AUXILIAR </t>
  </si>
  <si>
    <t>AUXILIAR DE APOYO E INFIRMACION/AUXILIAR JEFE DE EQUIPO</t>
  </si>
  <si>
    <t>Auxiliar de Recaudación</t>
  </si>
  <si>
    <t>Auxiliar de Recaudación OAIC</t>
  </si>
  <si>
    <t>CONDUCTOR</t>
  </si>
  <si>
    <t>OFICIAL MECANICO CONDUCTOR</t>
  </si>
  <si>
    <t>Conductor</t>
  </si>
  <si>
    <t>Operario G2</t>
  </si>
  <si>
    <t>Oficial Mecánico Conductor</t>
  </si>
  <si>
    <t>ATE</t>
  </si>
  <si>
    <t>Mozo de Almacén</t>
  </si>
  <si>
    <t>TECNICO AUXILIAR MANTENIMIENTO</t>
  </si>
  <si>
    <t>OFICIAL OFICIOS</t>
  </si>
  <si>
    <t>TAMC</t>
  </si>
  <si>
    <t>Técnico de Mantenimiento</t>
  </si>
  <si>
    <t>Oficial 2ª Mantenimiento</t>
  </si>
  <si>
    <t>Oficial de Mantenimiento</t>
  </si>
  <si>
    <t>Ayudante de Oficio</t>
  </si>
  <si>
    <t>Oficial de Máquinas Auxiliares</t>
  </si>
  <si>
    <t>Ayu. Ofic. Vari.</t>
  </si>
  <si>
    <t>Of. 1ª Of. Va</t>
  </si>
  <si>
    <t>Of. Oficios</t>
  </si>
  <si>
    <t>Operario 1ª</t>
  </si>
  <si>
    <t>Socorrista</t>
  </si>
  <si>
    <t>AUXILIAR ADMINISTRATIVO</t>
  </si>
  <si>
    <t>Aux. Administrativo(con compl)</t>
  </si>
  <si>
    <t>Aux. Administrativo(sin compl)</t>
  </si>
  <si>
    <t>Aux. Admvo./Taqullero</t>
  </si>
  <si>
    <t>Taquillero/a</t>
  </si>
  <si>
    <t>Aux. Administrativo</t>
  </si>
  <si>
    <t>Azaf. Museos</t>
  </si>
  <si>
    <t>T.AUXILIAR INFORMÁTICA</t>
  </si>
  <si>
    <t>TAIN</t>
  </si>
  <si>
    <t>Auxiliar Digitalización</t>
  </si>
  <si>
    <t>Grabador</t>
  </si>
  <si>
    <t>GRUPO V</t>
  </si>
  <si>
    <t>AYUDANTE SERVICIOS INTERNOS</t>
  </si>
  <si>
    <t>JEFE DE EQUIPO DE TRABAJOS AUXILIARES</t>
  </si>
  <si>
    <t>ASI</t>
  </si>
  <si>
    <t>Jefe de operarios</t>
  </si>
  <si>
    <t>Operario G1</t>
  </si>
  <si>
    <t>Conserje</t>
  </si>
  <si>
    <t>Ordenanza</t>
  </si>
  <si>
    <t>AYUDANTE TRABAJOS ESPECÍFICOS</t>
  </si>
  <si>
    <t>Operario de 2ª</t>
  </si>
  <si>
    <t>Ayudante de Máquinas Auxiliares</t>
  </si>
  <si>
    <t>Operario/a</t>
  </si>
  <si>
    <t>Operario de 3ª</t>
  </si>
  <si>
    <t>Per. Of. Var.</t>
  </si>
  <si>
    <r>
      <t>AUXILIAR ESPECIALISTA/</t>
    </r>
    <r>
      <rPr>
        <sz val="8"/>
        <rFont val="Arial"/>
        <family val="2"/>
      </rPr>
      <t>AUXILIAR DE SECRETARÍA</t>
    </r>
  </si>
  <si>
    <t>JEFE DE SUBSECCION GRUPO III/ASDJUNTO SECCION</t>
  </si>
  <si>
    <t>A</t>
  </si>
  <si>
    <t>B</t>
  </si>
  <si>
    <t>C</t>
  </si>
  <si>
    <t>DENOMINACIONES NUEVAS</t>
  </si>
  <si>
    <t>DENOMINACIONES ACTUALIZADAS</t>
  </si>
  <si>
    <t>REFERENCIA</t>
  </si>
  <si>
    <t>PUESTO FUNCIONARIAL</t>
  </si>
  <si>
    <t>Consejero Técnico</t>
  </si>
  <si>
    <t>Jefe Unidad Técnica</t>
  </si>
  <si>
    <t>Adjunto Departamento</t>
  </si>
  <si>
    <t>Jefe Sección</t>
  </si>
  <si>
    <t>DIRECTOR DE INSTALACIÓN</t>
  </si>
  <si>
    <t>Adjunto de Sección</t>
  </si>
  <si>
    <t>Jefe División</t>
  </si>
  <si>
    <t>JEFE DE SUBSECCION GRUPO I/</t>
  </si>
  <si>
    <t>T.A.G./Técnico Gestión</t>
  </si>
  <si>
    <t>Jefe Unidad Técnica/Adjunto Departamento/Asesor técnico n 26</t>
  </si>
  <si>
    <t>Asesor Técnico</t>
  </si>
  <si>
    <t>Adjunto a Sección</t>
  </si>
  <si>
    <t>Técnico de Gestión</t>
  </si>
  <si>
    <t>Jefe de Negociado</t>
  </si>
  <si>
    <t>Adjunto Asesor técnico</t>
  </si>
  <si>
    <t>Encargado oficina Auxiliar Directivos</t>
  </si>
  <si>
    <t>Aux Of. Aux</t>
  </si>
  <si>
    <t>Oficial mecánico conductor</t>
  </si>
  <si>
    <t>Oficial Edificios y Dependencias</t>
  </si>
  <si>
    <t>Auxiliar Administrativo (ascenso)</t>
  </si>
  <si>
    <t>Personal Oficios Diversos Oficios</t>
  </si>
  <si>
    <t>Operario G1/G2</t>
  </si>
  <si>
    <t>TEBLA DE PROPUESTA DE INTEGRACIÓN</t>
  </si>
  <si>
    <t>EFE DE SECCIÓN GRUPO III/ ADJUNTO UNIDAD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</si>
</sst>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#,##0.0000"/>
    <numFmt numFmtId="167" formatCode="#,##0.00\ &quot;€&quot;"/>
    <numFmt numFmtId="168" formatCode="#,##0.00_ ;\-#,##0.00\ 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2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00">
    <xf numFmtId="0" fontId="0" fillId="0" borderId="0" xfId="0" applyAlignment="1">
      <alignment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5" fontId="1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4" fontId="8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 quotePrefix="1">
      <alignment horizontal="center" vertical="center" wrapText="1"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10" fillId="0" borderId="13" xfId="0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0" fontId="10" fillId="34" borderId="13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0" fillId="34" borderId="20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14" fillId="34" borderId="13" xfId="0" applyFont="1" applyFill="1" applyBorder="1" applyAlignment="1">
      <alignment/>
    </xf>
    <xf numFmtId="4" fontId="7" fillId="34" borderId="17" xfId="0" applyNumberFormat="1" applyFont="1" applyFill="1" applyBorder="1" applyAlignment="1">
      <alignment horizontal="right"/>
    </xf>
    <xf numFmtId="4" fontId="7" fillId="34" borderId="0" xfId="0" applyNumberFormat="1" applyFont="1" applyFill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/>
    </xf>
    <xf numFmtId="4" fontId="7" fillId="33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4" fontId="7" fillId="33" borderId="17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0" fillId="33" borderId="0" xfId="0" applyFont="1" applyFill="1" applyAlignment="1">
      <alignment horizontal="center" vertical="center" wrapText="1"/>
    </xf>
    <xf numFmtId="4" fontId="10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/>
    </xf>
    <xf numFmtId="4" fontId="10" fillId="0" borderId="0" xfId="0" applyNumberFormat="1" applyFont="1" applyAlignment="1">
      <alignment horizontal="center" vertical="center" wrapText="1"/>
    </xf>
    <xf numFmtId="0" fontId="14" fillId="0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left"/>
    </xf>
    <xf numFmtId="4" fontId="1" fillId="0" borderId="0" xfId="0" applyNumberFormat="1" applyFont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15" fontId="4" fillId="0" borderId="0" xfId="0" applyNumberFormat="1" applyFont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0" fontId="11" fillId="33" borderId="13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/>
    </xf>
    <xf numFmtId="4" fontId="11" fillId="33" borderId="13" xfId="0" applyNumberFormat="1" applyFont="1" applyFill="1" applyBorder="1" applyAlignment="1">
      <alignment horizontal="right"/>
    </xf>
    <xf numFmtId="4" fontId="8" fillId="33" borderId="13" xfId="0" applyNumberFormat="1" applyFont="1" applyFill="1" applyBorder="1" applyAlignment="1">
      <alignment horizontal="right"/>
    </xf>
    <xf numFmtId="0" fontId="14" fillId="33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5"/>
  <sheetViews>
    <sheetView tabSelected="1" zoomScale="75" zoomScaleNormal="75" zoomScalePageLayoutView="0" workbookViewId="0" topLeftCell="A253">
      <selection activeCell="A276" sqref="A276"/>
    </sheetView>
  </sheetViews>
  <sheetFormatPr defaultColWidth="11.421875" defaultRowHeight="12.75"/>
  <cols>
    <col min="1" max="1" width="7.7109375" style="0" customWidth="1"/>
    <col min="2" max="2" width="8.57421875" style="0" customWidth="1"/>
    <col min="3" max="3" width="28.28125" style="0" customWidth="1"/>
    <col min="4" max="4" width="16.7109375" style="75" customWidth="1"/>
    <col min="5" max="5" width="22.7109375" style="159" customWidth="1"/>
    <col min="6" max="6" width="16.00390625" style="0" customWidth="1"/>
    <col min="7" max="7" width="14.00390625" style="0" customWidth="1"/>
    <col min="8" max="8" width="33.28125" style="0" customWidth="1"/>
    <col min="9" max="9" width="9.28125" style="18" customWidth="1"/>
    <col min="10" max="10" width="10.00390625" style="18" customWidth="1"/>
    <col min="11" max="11" width="35.7109375" style="18" customWidth="1"/>
    <col min="12" max="12" width="8.7109375" style="19" customWidth="1"/>
    <col min="13" max="13" width="13.00390625" style="18" customWidth="1"/>
    <col min="14" max="14" width="14.00390625" style="18" customWidth="1"/>
    <col min="15" max="18" width="11.421875" style="18" customWidth="1"/>
    <col min="19" max="19" width="13.421875" style="18" customWidth="1"/>
  </cols>
  <sheetData>
    <row r="1" spans="1:19" s="3" customFormat="1" ht="12.75">
      <c r="A1" s="2" t="s">
        <v>358</v>
      </c>
      <c r="B1" s="2" t="s">
        <v>359</v>
      </c>
      <c r="C1" s="2" t="s">
        <v>360</v>
      </c>
      <c r="D1" s="1" t="s">
        <v>1</v>
      </c>
      <c r="E1" s="1" t="s">
        <v>0</v>
      </c>
      <c r="F1" s="2" t="s">
        <v>2</v>
      </c>
      <c r="G1" s="2" t="s">
        <v>3</v>
      </c>
      <c r="H1" s="2" t="s">
        <v>4</v>
      </c>
      <c r="I1" s="2" t="s">
        <v>5</v>
      </c>
      <c r="J1" s="3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</row>
    <row r="2" spans="1:19" s="15" customFormat="1" ht="18">
      <c r="A2" s="6"/>
      <c r="B2" s="6"/>
      <c r="C2" s="161">
        <v>40108</v>
      </c>
      <c r="D2" s="1"/>
      <c r="E2" s="5"/>
      <c r="F2" s="6"/>
      <c r="G2" s="7"/>
      <c r="H2" s="2"/>
      <c r="I2" s="8"/>
      <c r="J2" s="9"/>
      <c r="K2" s="9"/>
      <c r="L2" s="10"/>
      <c r="M2" s="11"/>
      <c r="N2" s="12"/>
      <c r="O2" s="12"/>
      <c r="P2" s="197"/>
      <c r="Q2" s="197"/>
      <c r="R2" s="187" t="s">
        <v>16</v>
      </c>
      <c r="S2" s="9"/>
    </row>
    <row r="3" spans="1:18" ht="15.75">
      <c r="A3" s="16"/>
      <c r="B3" s="16"/>
      <c r="C3" s="2"/>
      <c r="D3" s="195" t="s">
        <v>361</v>
      </c>
      <c r="E3" s="196"/>
      <c r="F3" s="196"/>
      <c r="G3" s="196"/>
      <c r="H3" s="16"/>
      <c r="I3" s="17"/>
      <c r="M3" s="20"/>
      <c r="N3" s="21" t="s">
        <v>17</v>
      </c>
      <c r="O3" s="21" t="s">
        <v>18</v>
      </c>
      <c r="P3" s="198"/>
      <c r="Q3" s="198"/>
      <c r="R3" s="188"/>
    </row>
    <row r="4" spans="1:18" ht="15.75">
      <c r="A4" s="16"/>
      <c r="B4" s="16"/>
      <c r="C4" s="2"/>
      <c r="D4" s="196"/>
      <c r="E4" s="196"/>
      <c r="F4" s="196"/>
      <c r="G4" s="196"/>
      <c r="H4" s="16"/>
      <c r="I4" s="17"/>
      <c r="K4" s="22" t="s">
        <v>19</v>
      </c>
      <c r="M4" s="23" t="s">
        <v>20</v>
      </c>
      <c r="N4" s="21" t="s">
        <v>21</v>
      </c>
      <c r="O4" s="24"/>
      <c r="P4" s="198"/>
      <c r="Q4" s="198"/>
      <c r="R4" s="188"/>
    </row>
    <row r="5" spans="1:19" ht="15.75">
      <c r="A5" s="16"/>
      <c r="B5" s="16"/>
      <c r="C5" s="2"/>
      <c r="D5" s="26"/>
      <c r="E5" s="25"/>
      <c r="F5" s="16"/>
      <c r="G5" s="16"/>
      <c r="H5" s="16"/>
      <c r="I5" s="27"/>
      <c r="J5" s="28"/>
      <c r="K5" s="29"/>
      <c r="L5" s="10"/>
      <c r="M5" s="30"/>
      <c r="N5" s="31" t="s">
        <v>22</v>
      </c>
      <c r="O5" s="32"/>
      <c r="P5" s="199"/>
      <c r="Q5" s="199"/>
      <c r="R5" s="189"/>
      <c r="S5" s="9"/>
    </row>
    <row r="6" spans="1:19" ht="15" customHeight="1">
      <c r="A6" s="110"/>
      <c r="B6" s="110"/>
      <c r="C6" s="110"/>
      <c r="D6" s="34"/>
      <c r="E6" s="33"/>
      <c r="F6" s="34"/>
      <c r="G6" s="34"/>
      <c r="H6" s="34"/>
      <c r="I6" s="35"/>
      <c r="J6" s="36"/>
      <c r="K6" s="29"/>
      <c r="L6" s="10"/>
      <c r="M6" s="9"/>
      <c r="N6" s="9"/>
      <c r="O6" s="9"/>
      <c r="P6" s="9"/>
      <c r="Q6" s="9"/>
      <c r="R6" s="9"/>
      <c r="S6" s="9"/>
    </row>
    <row r="7" spans="1:19" ht="15" customHeight="1">
      <c r="A7" s="110"/>
      <c r="B7" s="110"/>
      <c r="C7" s="110"/>
      <c r="D7" s="34"/>
      <c r="E7" s="33"/>
      <c r="F7" s="34"/>
      <c r="G7" s="34"/>
      <c r="H7" s="34"/>
      <c r="I7" s="35"/>
      <c r="J7" s="36"/>
      <c r="K7" s="29"/>
      <c r="L7" s="10"/>
      <c r="M7" s="37"/>
      <c r="N7" s="38"/>
      <c r="O7" s="39"/>
      <c r="P7" s="190"/>
      <c r="Q7" s="190"/>
      <c r="R7" s="187" t="s">
        <v>16</v>
      </c>
      <c r="S7" s="9"/>
    </row>
    <row r="8" spans="1:19" ht="15" customHeight="1">
      <c r="A8" s="110"/>
      <c r="B8" s="110"/>
      <c r="C8" s="110"/>
      <c r="D8" s="34"/>
      <c r="E8" s="33"/>
      <c r="F8" s="34"/>
      <c r="G8" s="34"/>
      <c r="H8" s="34"/>
      <c r="I8" s="35"/>
      <c r="J8" s="36"/>
      <c r="K8" s="29"/>
      <c r="L8" s="10"/>
      <c r="M8" s="40"/>
      <c r="N8" s="41" t="s">
        <v>23</v>
      </c>
      <c r="O8" s="42" t="s">
        <v>24</v>
      </c>
      <c r="P8" s="191"/>
      <c r="Q8" s="191"/>
      <c r="R8" s="188"/>
      <c r="S8" s="9"/>
    </row>
    <row r="9" spans="1:19" ht="15" customHeight="1">
      <c r="A9" s="110"/>
      <c r="B9" s="110"/>
      <c r="C9" s="193" t="s">
        <v>387</v>
      </c>
      <c r="D9" s="194"/>
      <c r="E9" s="194"/>
      <c r="F9" s="194"/>
      <c r="G9" s="194"/>
      <c r="H9" s="194"/>
      <c r="I9" s="35"/>
      <c r="J9" s="36"/>
      <c r="K9" s="29"/>
      <c r="L9" s="10"/>
      <c r="M9" s="44" t="s">
        <v>25</v>
      </c>
      <c r="N9" s="41" t="s">
        <v>26</v>
      </c>
      <c r="O9" s="42" t="s">
        <v>27</v>
      </c>
      <c r="P9" s="191"/>
      <c r="Q9" s="191"/>
      <c r="R9" s="188"/>
      <c r="S9" s="9"/>
    </row>
    <row r="10" spans="1:19" ht="15" customHeight="1">
      <c r="A10" s="110"/>
      <c r="B10" s="110"/>
      <c r="C10" s="194"/>
      <c r="D10" s="194"/>
      <c r="E10" s="194"/>
      <c r="F10" s="194"/>
      <c r="G10" s="194"/>
      <c r="H10" s="194"/>
      <c r="I10" s="35"/>
      <c r="J10" s="36"/>
      <c r="K10" s="45" t="s">
        <v>28</v>
      </c>
      <c r="L10" s="10"/>
      <c r="M10" s="46"/>
      <c r="N10" s="41" t="s">
        <v>29</v>
      </c>
      <c r="O10" s="47"/>
      <c r="P10" s="191"/>
      <c r="Q10" s="191"/>
      <c r="R10" s="188"/>
      <c r="S10" s="9"/>
    </row>
    <row r="11" spans="1:19" ht="15" customHeight="1">
      <c r="A11" s="110"/>
      <c r="B11" s="110"/>
      <c r="C11" s="194"/>
      <c r="D11" s="194"/>
      <c r="E11" s="194"/>
      <c r="F11" s="194"/>
      <c r="G11" s="194"/>
      <c r="H11" s="194"/>
      <c r="I11" s="35"/>
      <c r="J11" s="36"/>
      <c r="K11" s="29"/>
      <c r="L11" s="10"/>
      <c r="M11" s="46"/>
      <c r="N11" s="41" t="s">
        <v>30</v>
      </c>
      <c r="O11" s="47"/>
      <c r="P11" s="191"/>
      <c r="Q11" s="191"/>
      <c r="R11" s="188"/>
      <c r="S11" s="9"/>
    </row>
    <row r="12" spans="1:19" ht="15" customHeight="1">
      <c r="A12" s="110"/>
      <c r="B12" s="110"/>
      <c r="C12" s="194"/>
      <c r="D12" s="194"/>
      <c r="E12" s="194"/>
      <c r="F12" s="194"/>
      <c r="G12" s="194"/>
      <c r="H12" s="194"/>
      <c r="I12" s="35"/>
      <c r="J12" s="36"/>
      <c r="K12" s="29"/>
      <c r="L12" s="10"/>
      <c r="M12" s="48"/>
      <c r="N12" s="49" t="s">
        <v>31</v>
      </c>
      <c r="O12" s="50"/>
      <c r="P12" s="192"/>
      <c r="Q12" s="192"/>
      <c r="R12" s="189"/>
      <c r="S12" s="9"/>
    </row>
    <row r="13" spans="1:19" ht="15">
      <c r="A13" s="110"/>
      <c r="B13" s="110"/>
      <c r="C13" s="194"/>
      <c r="D13" s="194"/>
      <c r="E13" s="194"/>
      <c r="F13" s="194"/>
      <c r="G13" s="194"/>
      <c r="H13" s="194"/>
      <c r="I13" s="35"/>
      <c r="J13" s="36"/>
      <c r="K13" s="29"/>
      <c r="L13" s="10"/>
      <c r="M13" s="9"/>
      <c r="N13" s="9"/>
      <c r="O13" s="9"/>
      <c r="P13" s="9"/>
      <c r="Q13" s="9"/>
      <c r="R13" s="9"/>
      <c r="S13" s="9"/>
    </row>
    <row r="14" spans="1:19" ht="15" customHeight="1">
      <c r="A14" s="110"/>
      <c r="B14" s="110"/>
      <c r="C14" s="194"/>
      <c r="D14" s="194"/>
      <c r="E14" s="194"/>
      <c r="F14" s="194"/>
      <c r="G14" s="194"/>
      <c r="H14" s="194"/>
      <c r="I14" s="35"/>
      <c r="J14" s="36"/>
      <c r="K14" s="29"/>
      <c r="L14" s="10"/>
      <c r="M14" s="37"/>
      <c r="N14" s="38"/>
      <c r="O14" s="52"/>
      <c r="P14" s="37"/>
      <c r="Q14" s="190"/>
      <c r="R14" s="187" t="s">
        <v>16</v>
      </c>
      <c r="S14" s="9"/>
    </row>
    <row r="15" spans="1:19" ht="15" customHeight="1">
      <c r="A15" s="110"/>
      <c r="B15" s="110"/>
      <c r="C15" s="194"/>
      <c r="D15" s="194"/>
      <c r="E15" s="194"/>
      <c r="F15" s="194"/>
      <c r="G15" s="194"/>
      <c r="H15" s="194"/>
      <c r="I15" s="35"/>
      <c r="J15" s="36"/>
      <c r="K15" s="29"/>
      <c r="L15" s="10"/>
      <c r="M15" s="40"/>
      <c r="N15" s="41" t="s">
        <v>29</v>
      </c>
      <c r="O15" s="53" t="s">
        <v>32</v>
      </c>
      <c r="P15" s="54" t="s">
        <v>33</v>
      </c>
      <c r="Q15" s="191"/>
      <c r="R15" s="188"/>
      <c r="S15" s="9"/>
    </row>
    <row r="16" spans="1:19" ht="15" customHeight="1">
      <c r="A16" s="110"/>
      <c r="B16" s="110"/>
      <c r="C16" s="194"/>
      <c r="D16" s="194"/>
      <c r="E16" s="194"/>
      <c r="F16" s="194"/>
      <c r="G16" s="194"/>
      <c r="H16" s="194"/>
      <c r="I16" s="35"/>
      <c r="J16" s="36"/>
      <c r="K16" s="29"/>
      <c r="L16" s="10"/>
      <c r="M16" s="44" t="s">
        <v>25</v>
      </c>
      <c r="N16" s="41" t="s">
        <v>34</v>
      </c>
      <c r="O16" s="53" t="s">
        <v>35</v>
      </c>
      <c r="P16" s="54" t="s">
        <v>36</v>
      </c>
      <c r="Q16" s="191"/>
      <c r="R16" s="188"/>
      <c r="S16" s="9"/>
    </row>
    <row r="17" spans="1:19" ht="15" customHeight="1">
      <c r="A17" s="110"/>
      <c r="B17" s="110"/>
      <c r="C17" s="194"/>
      <c r="D17" s="194"/>
      <c r="E17" s="194"/>
      <c r="F17" s="194"/>
      <c r="G17" s="194"/>
      <c r="H17" s="194"/>
      <c r="I17" s="35"/>
      <c r="J17" s="36"/>
      <c r="K17" s="45" t="s">
        <v>37</v>
      </c>
      <c r="L17" s="10"/>
      <c r="M17" s="46"/>
      <c r="N17" s="41" t="s">
        <v>38</v>
      </c>
      <c r="O17" s="53" t="s">
        <v>39</v>
      </c>
      <c r="P17" s="54" t="s">
        <v>40</v>
      </c>
      <c r="Q17" s="191"/>
      <c r="R17" s="188"/>
      <c r="S17" s="9"/>
    </row>
    <row r="18" spans="1:19" ht="15" customHeight="1">
      <c r="A18" s="110"/>
      <c r="B18" s="110"/>
      <c r="C18" s="194"/>
      <c r="D18" s="194"/>
      <c r="E18" s="194"/>
      <c r="F18" s="194"/>
      <c r="G18" s="194"/>
      <c r="H18" s="194"/>
      <c r="I18" s="35"/>
      <c r="J18" s="36"/>
      <c r="K18" s="29"/>
      <c r="L18" s="10"/>
      <c r="M18" s="46"/>
      <c r="N18" s="41" t="s">
        <v>41</v>
      </c>
      <c r="O18" s="53" t="s">
        <v>42</v>
      </c>
      <c r="P18" s="54" t="s">
        <v>43</v>
      </c>
      <c r="Q18" s="191"/>
      <c r="R18" s="188"/>
      <c r="S18" s="9"/>
    </row>
    <row r="19" spans="1:19" ht="15" customHeight="1">
      <c r="A19" s="110"/>
      <c r="B19" s="110"/>
      <c r="C19" s="194"/>
      <c r="D19" s="194"/>
      <c r="E19" s="194"/>
      <c r="F19" s="194"/>
      <c r="G19" s="194"/>
      <c r="H19" s="194"/>
      <c r="I19" s="35"/>
      <c r="J19" s="36"/>
      <c r="K19" s="29"/>
      <c r="L19" s="10"/>
      <c r="M19" s="46"/>
      <c r="N19" s="41" t="s">
        <v>44</v>
      </c>
      <c r="O19" s="53" t="s">
        <v>45</v>
      </c>
      <c r="P19" s="40"/>
      <c r="Q19" s="191"/>
      <c r="R19" s="188"/>
      <c r="S19" s="9"/>
    </row>
    <row r="20" spans="1:19" ht="15" customHeight="1">
      <c r="A20" s="110"/>
      <c r="B20" s="110"/>
      <c r="C20" s="194"/>
      <c r="D20" s="194"/>
      <c r="E20" s="194"/>
      <c r="F20" s="194"/>
      <c r="G20" s="194"/>
      <c r="H20" s="194"/>
      <c r="I20" s="35"/>
      <c r="J20" s="36"/>
      <c r="K20" s="29"/>
      <c r="L20" s="10"/>
      <c r="M20" s="48"/>
      <c r="N20" s="49"/>
      <c r="O20" s="55" t="s">
        <v>46</v>
      </c>
      <c r="P20" s="56"/>
      <c r="Q20" s="192"/>
      <c r="R20" s="189"/>
      <c r="S20" s="9"/>
    </row>
    <row r="21" spans="1:19" ht="15.75">
      <c r="A21" s="110"/>
      <c r="B21" s="110"/>
      <c r="C21" s="194"/>
      <c r="D21" s="194"/>
      <c r="E21" s="194"/>
      <c r="F21" s="194"/>
      <c r="G21" s="194"/>
      <c r="H21" s="194"/>
      <c r="I21" s="35"/>
      <c r="J21" s="36"/>
      <c r="K21" s="29"/>
      <c r="L21" s="10"/>
      <c r="M21" s="57"/>
      <c r="N21" s="41"/>
      <c r="O21" s="41"/>
      <c r="P21" s="58"/>
      <c r="Q21" s="58"/>
      <c r="R21" s="59"/>
      <c r="S21" s="9"/>
    </row>
    <row r="22" spans="1:19" ht="15">
      <c r="A22" s="110"/>
      <c r="B22" s="110"/>
      <c r="C22" s="194"/>
      <c r="D22" s="194"/>
      <c r="E22" s="194"/>
      <c r="F22" s="194"/>
      <c r="G22" s="194"/>
      <c r="H22" s="194"/>
      <c r="I22" s="35"/>
      <c r="J22" s="36"/>
      <c r="K22" s="29"/>
      <c r="L22" s="10"/>
      <c r="M22" s="184" t="s">
        <v>47</v>
      </c>
      <c r="N22" s="39"/>
      <c r="O22" s="39"/>
      <c r="P22" s="52"/>
      <c r="Q22" s="52"/>
      <c r="R22" s="187" t="s">
        <v>16</v>
      </c>
      <c r="S22" s="9"/>
    </row>
    <row r="23" spans="1:19" ht="15">
      <c r="A23" s="110"/>
      <c r="B23" s="110"/>
      <c r="C23" s="194"/>
      <c r="D23" s="194"/>
      <c r="E23" s="194"/>
      <c r="F23" s="194"/>
      <c r="G23" s="194"/>
      <c r="H23" s="194"/>
      <c r="I23" s="35"/>
      <c r="J23" s="36"/>
      <c r="K23" s="29"/>
      <c r="L23" s="10"/>
      <c r="M23" s="185"/>
      <c r="N23" s="42"/>
      <c r="O23" s="42" t="s">
        <v>48</v>
      </c>
      <c r="P23" s="60" t="s">
        <v>49</v>
      </c>
      <c r="Q23" s="53" t="s">
        <v>17</v>
      </c>
      <c r="R23" s="188"/>
      <c r="S23" s="9"/>
    </row>
    <row r="24" spans="1:19" ht="15">
      <c r="A24" s="110"/>
      <c r="B24" s="110"/>
      <c r="C24" s="194"/>
      <c r="D24" s="194"/>
      <c r="E24" s="194"/>
      <c r="F24" s="194"/>
      <c r="G24" s="194"/>
      <c r="H24" s="194"/>
      <c r="I24" s="35"/>
      <c r="J24" s="36"/>
      <c r="K24" s="45" t="s">
        <v>50</v>
      </c>
      <c r="L24" s="10"/>
      <c r="M24" s="185"/>
      <c r="N24" s="42" t="s">
        <v>51</v>
      </c>
      <c r="O24" s="61"/>
      <c r="P24" s="60" t="s">
        <v>52</v>
      </c>
      <c r="Q24" s="53"/>
      <c r="R24" s="188"/>
      <c r="S24" s="9"/>
    </row>
    <row r="25" spans="1:19" ht="15">
      <c r="A25" s="110"/>
      <c r="B25" s="110"/>
      <c r="C25" s="194"/>
      <c r="D25" s="194"/>
      <c r="E25" s="194"/>
      <c r="F25" s="194"/>
      <c r="G25" s="194"/>
      <c r="H25" s="194"/>
      <c r="I25" s="35"/>
      <c r="J25" s="36"/>
      <c r="K25" s="29"/>
      <c r="L25" s="10"/>
      <c r="M25" s="185"/>
      <c r="N25" s="42" t="s">
        <v>53</v>
      </c>
      <c r="O25" s="61"/>
      <c r="P25" s="55" t="s">
        <v>54</v>
      </c>
      <c r="Q25" s="53"/>
      <c r="R25" s="188"/>
      <c r="S25" s="9"/>
    </row>
    <row r="26" spans="1:19" ht="15">
      <c r="A26" s="110"/>
      <c r="B26" s="110"/>
      <c r="C26" s="194"/>
      <c r="D26" s="194"/>
      <c r="E26" s="194"/>
      <c r="F26" s="194"/>
      <c r="G26" s="194"/>
      <c r="H26" s="194"/>
      <c r="I26" s="35"/>
      <c r="J26" s="36"/>
      <c r="K26" s="29"/>
      <c r="L26" s="10"/>
      <c r="M26" s="186"/>
      <c r="N26" s="62"/>
      <c r="O26" s="51"/>
      <c r="P26" s="42" t="s">
        <v>55</v>
      </c>
      <c r="Q26" s="63"/>
      <c r="R26" s="189"/>
      <c r="S26" s="9"/>
    </row>
    <row r="27" spans="1:19" ht="15.75">
      <c r="A27" s="110"/>
      <c r="B27" s="110"/>
      <c r="C27" s="194"/>
      <c r="D27" s="194"/>
      <c r="E27" s="194"/>
      <c r="F27" s="194"/>
      <c r="G27" s="194"/>
      <c r="H27" s="194"/>
      <c r="I27" s="35"/>
      <c r="J27" s="36"/>
      <c r="K27" s="29"/>
      <c r="L27" s="10"/>
      <c r="M27" s="57"/>
      <c r="N27" s="41"/>
      <c r="O27" s="41"/>
      <c r="P27" s="58"/>
      <c r="Q27" s="58"/>
      <c r="R27" s="59"/>
      <c r="S27" s="9"/>
    </row>
    <row r="28" spans="1:19" ht="15" customHeight="1">
      <c r="A28" s="110"/>
      <c r="B28" s="110"/>
      <c r="C28" s="194"/>
      <c r="D28" s="194"/>
      <c r="E28" s="194"/>
      <c r="F28" s="194"/>
      <c r="G28" s="194"/>
      <c r="H28" s="194"/>
      <c r="I28" s="35"/>
      <c r="J28" s="36"/>
      <c r="K28" s="29"/>
      <c r="L28" s="10"/>
      <c r="M28" s="37"/>
      <c r="N28" s="38"/>
      <c r="O28" s="52"/>
      <c r="P28" s="39"/>
      <c r="Q28" s="39"/>
      <c r="R28" s="187" t="s">
        <v>16</v>
      </c>
      <c r="S28" s="9"/>
    </row>
    <row r="29" spans="1:19" ht="15" customHeight="1">
      <c r="A29" s="110"/>
      <c r="B29" s="110"/>
      <c r="C29" s="194"/>
      <c r="D29" s="194"/>
      <c r="E29" s="194"/>
      <c r="F29" s="194"/>
      <c r="G29" s="194"/>
      <c r="H29" s="194"/>
      <c r="I29" s="35"/>
      <c r="J29" s="36"/>
      <c r="K29" s="29"/>
      <c r="L29" s="10"/>
      <c r="M29" s="44" t="s">
        <v>25</v>
      </c>
      <c r="N29" s="41" t="s">
        <v>17</v>
      </c>
      <c r="O29" s="53" t="s">
        <v>56</v>
      </c>
      <c r="P29" s="64" t="s">
        <v>57</v>
      </c>
      <c r="Q29" s="42" t="s">
        <v>58</v>
      </c>
      <c r="R29" s="188"/>
      <c r="S29" s="9"/>
    </row>
    <row r="30" spans="1:19" ht="15" customHeight="1">
      <c r="A30" s="110"/>
      <c r="B30" s="110"/>
      <c r="C30" s="194"/>
      <c r="D30" s="194"/>
      <c r="E30" s="194"/>
      <c r="F30" s="194"/>
      <c r="G30" s="194"/>
      <c r="H30" s="194"/>
      <c r="I30" s="35"/>
      <c r="J30" s="36"/>
      <c r="K30" s="29"/>
      <c r="L30" s="10"/>
      <c r="M30" s="44"/>
      <c r="N30" s="41" t="s">
        <v>59</v>
      </c>
      <c r="O30" s="53"/>
      <c r="P30" s="42"/>
      <c r="Q30" s="42" t="s">
        <v>60</v>
      </c>
      <c r="R30" s="188"/>
      <c r="S30" s="9"/>
    </row>
    <row r="31" spans="1:19" ht="15" customHeight="1">
      <c r="A31" s="110"/>
      <c r="B31" s="110"/>
      <c r="C31" s="194"/>
      <c r="D31" s="194"/>
      <c r="E31" s="194"/>
      <c r="F31" s="194"/>
      <c r="G31" s="194"/>
      <c r="H31" s="194"/>
      <c r="I31" s="35"/>
      <c r="J31" s="36"/>
      <c r="K31" s="45" t="s">
        <v>61</v>
      </c>
      <c r="L31" s="10"/>
      <c r="M31" s="46"/>
      <c r="N31" s="41" t="s">
        <v>62</v>
      </c>
      <c r="O31" s="53"/>
      <c r="P31" s="42"/>
      <c r="Q31" s="43"/>
      <c r="R31" s="188"/>
      <c r="S31" s="9"/>
    </row>
    <row r="32" spans="1:19" ht="15" customHeight="1">
      <c r="A32" s="110"/>
      <c r="B32" s="110"/>
      <c r="C32" s="194"/>
      <c r="D32" s="194"/>
      <c r="E32" s="194"/>
      <c r="F32" s="194"/>
      <c r="G32" s="194"/>
      <c r="H32" s="194"/>
      <c r="I32" s="35"/>
      <c r="J32" s="36"/>
      <c r="K32" s="29"/>
      <c r="L32" s="10"/>
      <c r="M32" s="46"/>
      <c r="N32" s="41" t="s">
        <v>63</v>
      </c>
      <c r="O32" s="53"/>
      <c r="P32" s="42"/>
      <c r="Q32" s="43"/>
      <c r="R32" s="188"/>
      <c r="S32" s="9"/>
    </row>
    <row r="33" spans="1:19" ht="15" customHeight="1">
      <c r="A33" s="110"/>
      <c r="B33" s="110"/>
      <c r="C33" s="194"/>
      <c r="D33" s="194"/>
      <c r="E33" s="194"/>
      <c r="F33" s="194"/>
      <c r="G33" s="194"/>
      <c r="H33" s="194"/>
      <c r="I33" s="35"/>
      <c r="J33" s="36"/>
      <c r="K33" s="29"/>
      <c r="L33" s="10"/>
      <c r="M33" s="46"/>
      <c r="N33" s="41"/>
      <c r="O33" s="53"/>
      <c r="P33" s="42"/>
      <c r="Q33" s="43"/>
      <c r="R33" s="188"/>
      <c r="S33" s="9"/>
    </row>
    <row r="34" spans="1:19" ht="15" customHeight="1">
      <c r="A34" s="110"/>
      <c r="B34" s="110"/>
      <c r="C34" s="110"/>
      <c r="D34" s="34"/>
      <c r="E34" s="33"/>
      <c r="F34" s="34"/>
      <c r="G34" s="34"/>
      <c r="H34" s="34"/>
      <c r="I34" s="35"/>
      <c r="J34" s="36"/>
      <c r="K34" s="29"/>
      <c r="L34" s="10"/>
      <c r="M34" s="46"/>
      <c r="N34" s="41"/>
      <c r="O34" s="53"/>
      <c r="P34" s="42"/>
      <c r="Q34" s="43"/>
      <c r="R34" s="189"/>
      <c r="S34" s="9"/>
    </row>
    <row r="35" spans="1:19" ht="15.75">
      <c r="A35" s="110"/>
      <c r="B35" s="110"/>
      <c r="C35" s="110"/>
      <c r="D35" s="34"/>
      <c r="E35" s="33"/>
      <c r="F35" s="34"/>
      <c r="G35" s="34"/>
      <c r="H35" s="34"/>
      <c r="I35" s="35"/>
      <c r="J35" s="36"/>
      <c r="K35" s="45" t="s">
        <v>64</v>
      </c>
      <c r="L35" s="10"/>
      <c r="M35" s="65" t="s">
        <v>65</v>
      </c>
      <c r="N35" s="66"/>
      <c r="O35" s="66" t="s">
        <v>66</v>
      </c>
      <c r="P35" s="13"/>
      <c r="Q35" s="13"/>
      <c r="R35" s="14" t="s">
        <v>16</v>
      </c>
      <c r="S35" s="9"/>
    </row>
    <row r="36" spans="1:19" ht="50.25" customHeight="1">
      <c r="A36" s="110"/>
      <c r="B36" s="110"/>
      <c r="C36" s="110"/>
      <c r="D36" s="34"/>
      <c r="E36" s="33"/>
      <c r="F36" s="34"/>
      <c r="G36" s="34"/>
      <c r="H36" s="34" t="s">
        <v>362</v>
      </c>
      <c r="I36" s="35"/>
      <c r="J36" s="22" t="s">
        <v>67</v>
      </c>
      <c r="K36" s="67" t="s">
        <v>68</v>
      </c>
      <c r="L36" s="68" t="s">
        <v>69</v>
      </c>
      <c r="M36" s="68" t="s">
        <v>70</v>
      </c>
      <c r="N36" s="68" t="s">
        <v>71</v>
      </c>
      <c r="O36" s="68" t="s">
        <v>72</v>
      </c>
      <c r="P36" s="68" t="s">
        <v>73</v>
      </c>
      <c r="Q36" s="68" t="s">
        <v>74</v>
      </c>
      <c r="R36" s="68" t="s">
        <v>75</v>
      </c>
      <c r="S36" s="69" t="s">
        <v>16</v>
      </c>
    </row>
    <row r="37" spans="1:19" ht="15">
      <c r="A37" s="110"/>
      <c r="B37" s="110"/>
      <c r="C37" s="110" t="s">
        <v>363</v>
      </c>
      <c r="D37" s="34" t="s">
        <v>77</v>
      </c>
      <c r="E37" s="70" t="s">
        <v>76</v>
      </c>
      <c r="F37" s="34" t="s">
        <v>78</v>
      </c>
      <c r="G37" s="34" t="s">
        <v>79</v>
      </c>
      <c r="H37" s="34" t="s">
        <v>80</v>
      </c>
      <c r="I37" s="35"/>
      <c r="J37" s="36"/>
      <c r="K37" s="36"/>
      <c r="L37" s="10"/>
      <c r="M37" s="9"/>
      <c r="N37" s="9"/>
      <c r="O37" s="9"/>
      <c r="P37" s="9"/>
      <c r="Q37" s="9"/>
      <c r="R37" s="9"/>
      <c r="S37" s="9"/>
    </row>
    <row r="38" spans="1:19" ht="22.5" customHeight="1">
      <c r="A38" s="16"/>
      <c r="B38" s="16"/>
      <c r="C38" s="2" t="s">
        <v>364</v>
      </c>
      <c r="D38" s="1" t="s">
        <v>16</v>
      </c>
      <c r="E38" s="71" t="s">
        <v>81</v>
      </c>
      <c r="F38" s="72" t="s">
        <v>82</v>
      </c>
      <c r="G38" s="72" t="s">
        <v>83</v>
      </c>
      <c r="H38" s="16"/>
      <c r="I38" s="72" t="s">
        <v>84</v>
      </c>
      <c r="J38" s="73" t="s">
        <v>85</v>
      </c>
      <c r="K38" s="3" t="s">
        <v>86</v>
      </c>
      <c r="L38" s="73" t="s">
        <v>87</v>
      </c>
      <c r="M38" s="73" t="s">
        <v>88</v>
      </c>
      <c r="N38" s="73" t="s">
        <v>89</v>
      </c>
      <c r="O38" s="73" t="s">
        <v>90</v>
      </c>
      <c r="P38" s="73" t="s">
        <v>91</v>
      </c>
      <c r="Q38" s="73" t="s">
        <v>91</v>
      </c>
      <c r="R38" s="73" t="s">
        <v>16</v>
      </c>
      <c r="S38" s="73" t="s">
        <v>92</v>
      </c>
    </row>
    <row r="39" spans="1:19" ht="22.5" customHeight="1">
      <c r="A39" s="16"/>
      <c r="B39" s="16"/>
      <c r="C39" s="2"/>
      <c r="D39" s="1" t="s">
        <v>93</v>
      </c>
      <c r="E39" s="71"/>
      <c r="F39" s="72"/>
      <c r="G39" s="72"/>
      <c r="H39" s="16"/>
      <c r="I39" s="8"/>
      <c r="J39" s="22"/>
      <c r="M39" s="73" t="s">
        <v>94</v>
      </c>
      <c r="R39" s="73" t="s">
        <v>95</v>
      </c>
      <c r="S39" s="22" t="s">
        <v>96</v>
      </c>
    </row>
    <row r="40" spans="1:19" ht="14.25" customHeight="1">
      <c r="A40" s="16"/>
      <c r="B40" s="16"/>
      <c r="C40" s="16"/>
      <c r="E40" s="74"/>
      <c r="F40" s="16"/>
      <c r="G40" s="16"/>
      <c r="H40" s="16"/>
      <c r="I40" s="8"/>
      <c r="J40" s="9"/>
      <c r="K40" s="9"/>
      <c r="L40" s="10"/>
      <c r="M40" s="9"/>
      <c r="N40" s="9"/>
      <c r="O40" s="9"/>
      <c r="P40" s="9"/>
      <c r="Q40" s="9"/>
      <c r="R40" s="9"/>
      <c r="S40" s="9"/>
    </row>
    <row r="41" spans="1:19" ht="31.5" customHeight="1">
      <c r="A41" s="76"/>
      <c r="B41" s="76"/>
      <c r="C41" s="76"/>
      <c r="D41" s="77"/>
      <c r="E41" s="33"/>
      <c r="F41" s="34"/>
      <c r="G41" s="78"/>
      <c r="H41" s="79"/>
      <c r="I41" s="80"/>
      <c r="J41" s="80"/>
      <c r="K41" s="81"/>
      <c r="L41" s="80"/>
      <c r="M41" s="28"/>
      <c r="N41" s="28"/>
      <c r="O41" s="28"/>
      <c r="P41" s="28"/>
      <c r="Q41" s="28"/>
      <c r="R41" s="28"/>
      <c r="S41" s="45"/>
    </row>
    <row r="42" spans="1:19" ht="31.5" customHeight="1">
      <c r="A42" s="76" t="s">
        <v>97</v>
      </c>
      <c r="B42" s="76">
        <v>29</v>
      </c>
      <c r="C42" s="76" t="s">
        <v>137</v>
      </c>
      <c r="D42" s="77">
        <v>65351.86</v>
      </c>
      <c r="E42" s="33" t="s">
        <v>98</v>
      </c>
      <c r="F42" s="34">
        <v>40687.92</v>
      </c>
      <c r="G42" s="78">
        <f aca="true" t="shared" si="0" ref="G42:G49">D42-F42</f>
        <v>24663.940000000002</v>
      </c>
      <c r="H42" s="79" t="s">
        <v>99</v>
      </c>
      <c r="I42" s="80" t="s">
        <v>100</v>
      </c>
      <c r="J42" s="80" t="s">
        <v>101</v>
      </c>
      <c r="K42" s="81" t="s">
        <v>102</v>
      </c>
      <c r="L42" s="80">
        <v>1</v>
      </c>
      <c r="M42" s="28">
        <v>69016.64</v>
      </c>
      <c r="N42" s="28">
        <v>225.68</v>
      </c>
      <c r="O42" s="28"/>
      <c r="P42" s="28"/>
      <c r="Q42" s="28">
        <v>321.36</v>
      </c>
      <c r="R42" s="28">
        <f aca="true" t="shared" si="1" ref="R42:R49">M42+N42+O42+P42+Q42</f>
        <v>69563.68</v>
      </c>
      <c r="S42" s="29">
        <f aca="true" t="shared" si="2" ref="S42:S49">D42-R42</f>
        <v>-4211.819999999992</v>
      </c>
    </row>
    <row r="43" spans="1:19" ht="31.5" customHeight="1">
      <c r="A43" s="76" t="s">
        <v>97</v>
      </c>
      <c r="B43" s="76">
        <v>29</v>
      </c>
      <c r="C43" s="76" t="s">
        <v>137</v>
      </c>
      <c r="D43" s="77">
        <v>65351.86</v>
      </c>
      <c r="E43" s="33" t="s">
        <v>98</v>
      </c>
      <c r="F43" s="34">
        <v>40687.92</v>
      </c>
      <c r="G43" s="78">
        <f t="shared" si="0"/>
        <v>24663.940000000002</v>
      </c>
      <c r="H43" s="79" t="s">
        <v>99</v>
      </c>
      <c r="I43" s="80" t="s">
        <v>100</v>
      </c>
      <c r="J43" s="80" t="s">
        <v>101</v>
      </c>
      <c r="K43" s="81" t="s">
        <v>103</v>
      </c>
      <c r="L43" s="80">
        <v>1</v>
      </c>
      <c r="M43" s="28">
        <v>69016.64</v>
      </c>
      <c r="N43" s="82">
        <v>225.68</v>
      </c>
      <c r="O43" s="82"/>
      <c r="P43" s="82"/>
      <c r="Q43" s="82">
        <v>321.36</v>
      </c>
      <c r="R43" s="82">
        <f t="shared" si="1"/>
        <v>69563.68</v>
      </c>
      <c r="S43" s="29">
        <f t="shared" si="2"/>
        <v>-4211.819999999992</v>
      </c>
    </row>
    <row r="44" spans="1:19" ht="31.5" customHeight="1">
      <c r="A44" s="76" t="s">
        <v>97</v>
      </c>
      <c r="B44" s="76">
        <v>29</v>
      </c>
      <c r="C44" s="76" t="s">
        <v>137</v>
      </c>
      <c r="D44" s="77">
        <v>65351.86</v>
      </c>
      <c r="E44" s="33" t="s">
        <v>98</v>
      </c>
      <c r="F44" s="34">
        <v>40687.92</v>
      </c>
      <c r="G44" s="78">
        <f t="shared" si="0"/>
        <v>24663.940000000002</v>
      </c>
      <c r="H44" s="79" t="s">
        <v>99</v>
      </c>
      <c r="I44" s="80" t="s">
        <v>104</v>
      </c>
      <c r="J44" s="80" t="s">
        <v>101</v>
      </c>
      <c r="K44" s="81" t="s">
        <v>105</v>
      </c>
      <c r="L44" s="80">
        <v>1</v>
      </c>
      <c r="M44" s="82">
        <v>41937</v>
      </c>
      <c r="N44" s="82">
        <f>114.38+372.26+950.46</f>
        <v>1437.1</v>
      </c>
      <c r="O44" s="82">
        <f>12916.4+4905.32</f>
        <v>17821.72</v>
      </c>
      <c r="P44" s="82"/>
      <c r="Q44" s="82"/>
      <c r="R44" s="82">
        <f t="shared" si="1"/>
        <v>61195.82</v>
      </c>
      <c r="S44" s="29">
        <f t="shared" si="2"/>
        <v>4156.040000000001</v>
      </c>
    </row>
    <row r="45" spans="1:19" ht="31.5" customHeight="1">
      <c r="A45" s="76" t="s">
        <v>97</v>
      </c>
      <c r="B45" s="76">
        <v>29</v>
      </c>
      <c r="C45" s="76" t="s">
        <v>137</v>
      </c>
      <c r="D45" s="77">
        <v>65351.86</v>
      </c>
      <c r="E45" s="33" t="s">
        <v>106</v>
      </c>
      <c r="F45" s="34">
        <v>40687.92</v>
      </c>
      <c r="G45" s="78">
        <f t="shared" si="0"/>
        <v>24663.940000000002</v>
      </c>
      <c r="H45" s="79" t="s">
        <v>99</v>
      </c>
      <c r="I45" s="80" t="s">
        <v>100</v>
      </c>
      <c r="J45" s="80" t="s">
        <v>107</v>
      </c>
      <c r="K45" s="81" t="s">
        <v>108</v>
      </c>
      <c r="L45" s="80">
        <v>1</v>
      </c>
      <c r="M45" s="28">
        <v>69016.64</v>
      </c>
      <c r="N45" s="28">
        <v>225.68</v>
      </c>
      <c r="O45" s="28"/>
      <c r="P45" s="28"/>
      <c r="Q45" s="28">
        <v>321.36</v>
      </c>
      <c r="R45" s="28">
        <f t="shared" si="1"/>
        <v>69563.68</v>
      </c>
      <c r="S45" s="29">
        <f t="shared" si="2"/>
        <v>-4211.819999999992</v>
      </c>
    </row>
    <row r="46" spans="1:19" ht="31.5" customHeight="1">
      <c r="A46" s="76" t="s">
        <v>97</v>
      </c>
      <c r="B46" s="76">
        <v>29</v>
      </c>
      <c r="C46" s="76" t="s">
        <v>137</v>
      </c>
      <c r="D46" s="77">
        <v>65351.86</v>
      </c>
      <c r="E46" s="33" t="s">
        <v>106</v>
      </c>
      <c r="F46" s="34">
        <v>40687.92</v>
      </c>
      <c r="G46" s="78">
        <f t="shared" si="0"/>
        <v>24663.940000000002</v>
      </c>
      <c r="H46" s="79" t="s">
        <v>99</v>
      </c>
      <c r="I46" s="80" t="s">
        <v>100</v>
      </c>
      <c r="J46" s="80" t="s">
        <v>107</v>
      </c>
      <c r="K46" s="81" t="s">
        <v>109</v>
      </c>
      <c r="L46" s="80">
        <v>1</v>
      </c>
      <c r="M46" s="28">
        <v>69016.64</v>
      </c>
      <c r="N46" s="28">
        <v>225.68</v>
      </c>
      <c r="O46" s="28"/>
      <c r="P46" s="28"/>
      <c r="Q46" s="28">
        <v>321.36</v>
      </c>
      <c r="R46" s="28">
        <f t="shared" si="1"/>
        <v>69563.68</v>
      </c>
      <c r="S46" s="29">
        <f t="shared" si="2"/>
        <v>-4211.819999999992</v>
      </c>
    </row>
    <row r="47" spans="1:19" ht="31.5" customHeight="1">
      <c r="A47" s="76" t="s">
        <v>97</v>
      </c>
      <c r="B47" s="76">
        <v>29</v>
      </c>
      <c r="C47" s="76" t="s">
        <v>137</v>
      </c>
      <c r="D47" s="77">
        <v>65351.86</v>
      </c>
      <c r="E47" s="33" t="s">
        <v>106</v>
      </c>
      <c r="F47" s="34">
        <v>40687.92</v>
      </c>
      <c r="G47" s="78">
        <f t="shared" si="0"/>
        <v>24663.940000000002</v>
      </c>
      <c r="H47" s="79" t="s">
        <v>99</v>
      </c>
      <c r="I47" s="80" t="s">
        <v>100</v>
      </c>
      <c r="J47" s="80" t="s">
        <v>107</v>
      </c>
      <c r="K47" s="81" t="s">
        <v>110</v>
      </c>
      <c r="L47" s="80">
        <v>1</v>
      </c>
      <c r="M47" s="82">
        <v>69016.64</v>
      </c>
      <c r="N47" s="82">
        <v>225.68</v>
      </c>
      <c r="O47" s="82"/>
      <c r="P47" s="82"/>
      <c r="Q47" s="82">
        <v>321.36</v>
      </c>
      <c r="R47" s="28">
        <f t="shared" si="1"/>
        <v>69563.68</v>
      </c>
      <c r="S47" s="29">
        <f t="shared" si="2"/>
        <v>-4211.819999999992</v>
      </c>
    </row>
    <row r="48" spans="1:19" ht="31.5" customHeight="1">
      <c r="A48" s="76" t="s">
        <v>97</v>
      </c>
      <c r="B48" s="76">
        <v>29</v>
      </c>
      <c r="C48" s="76" t="s">
        <v>137</v>
      </c>
      <c r="D48" s="77">
        <v>65351.86</v>
      </c>
      <c r="E48" s="33" t="s">
        <v>106</v>
      </c>
      <c r="F48" s="34">
        <v>40687.92</v>
      </c>
      <c r="G48" s="78">
        <f t="shared" si="0"/>
        <v>24663.940000000002</v>
      </c>
      <c r="H48" s="79" t="s">
        <v>99</v>
      </c>
      <c r="I48" s="80" t="s">
        <v>100</v>
      </c>
      <c r="J48" s="80" t="s">
        <v>107</v>
      </c>
      <c r="K48" s="81" t="s">
        <v>111</v>
      </c>
      <c r="L48" s="80">
        <v>1</v>
      </c>
      <c r="M48" s="28">
        <v>69016.64</v>
      </c>
      <c r="N48" s="28">
        <v>225.68</v>
      </c>
      <c r="O48" s="28"/>
      <c r="P48" s="28"/>
      <c r="Q48" s="28">
        <v>321.36</v>
      </c>
      <c r="R48" s="28">
        <f t="shared" si="1"/>
        <v>69563.68</v>
      </c>
      <c r="S48" s="29">
        <f t="shared" si="2"/>
        <v>-4211.819999999992</v>
      </c>
    </row>
    <row r="49" spans="1:19" ht="31.5" customHeight="1">
      <c r="A49" s="76" t="s">
        <v>97</v>
      </c>
      <c r="B49" s="76">
        <v>29</v>
      </c>
      <c r="C49" s="76" t="s">
        <v>137</v>
      </c>
      <c r="D49" s="77">
        <v>65351.86</v>
      </c>
      <c r="E49" s="33" t="s">
        <v>106</v>
      </c>
      <c r="F49" s="34">
        <v>40687.92</v>
      </c>
      <c r="G49" s="78">
        <f t="shared" si="0"/>
        <v>24663.940000000002</v>
      </c>
      <c r="H49" s="79" t="s">
        <v>99</v>
      </c>
      <c r="I49" s="80" t="s">
        <v>100</v>
      </c>
      <c r="J49" s="80" t="s">
        <v>107</v>
      </c>
      <c r="K49" s="81" t="s">
        <v>112</v>
      </c>
      <c r="L49" s="80">
        <v>1</v>
      </c>
      <c r="M49" s="28">
        <v>69016.64</v>
      </c>
      <c r="N49" s="28">
        <v>225.68</v>
      </c>
      <c r="O49" s="28"/>
      <c r="P49" s="28"/>
      <c r="Q49" s="28">
        <v>321.36</v>
      </c>
      <c r="R49" s="28">
        <f t="shared" si="1"/>
        <v>69563.68</v>
      </c>
      <c r="S49" s="29">
        <f t="shared" si="2"/>
        <v>-4211.819999999992</v>
      </c>
    </row>
    <row r="50" spans="1:19" ht="33" customHeight="1">
      <c r="A50" s="83"/>
      <c r="B50" s="83"/>
      <c r="C50" s="83"/>
      <c r="D50" s="85"/>
      <c r="E50" s="84"/>
      <c r="F50" s="86"/>
      <c r="G50" s="87"/>
      <c r="H50" s="84"/>
      <c r="I50" s="88"/>
      <c r="J50" s="88"/>
      <c r="K50" s="89"/>
      <c r="L50" s="88"/>
      <c r="M50" s="90"/>
      <c r="N50" s="90"/>
      <c r="O50" s="90"/>
      <c r="P50" s="90"/>
      <c r="Q50" s="90"/>
      <c r="R50" s="90"/>
      <c r="S50" s="91"/>
    </row>
    <row r="51" spans="1:19" s="102" customFormat="1" ht="31.5" customHeight="1">
      <c r="A51" s="92" t="s">
        <v>97</v>
      </c>
      <c r="B51" s="92">
        <v>28</v>
      </c>
      <c r="C51" s="92" t="s">
        <v>118</v>
      </c>
      <c r="D51" s="94">
        <v>56404.88</v>
      </c>
      <c r="E51" s="93" t="s">
        <v>98</v>
      </c>
      <c r="F51" s="95">
        <v>40687.92</v>
      </c>
      <c r="G51" s="96">
        <f aca="true" t="shared" si="3" ref="G51:G64">D51-F51</f>
        <v>15716.96</v>
      </c>
      <c r="H51" s="97" t="s">
        <v>113</v>
      </c>
      <c r="I51" s="98" t="s">
        <v>114</v>
      </c>
      <c r="J51" s="100" t="s">
        <v>101</v>
      </c>
      <c r="K51" s="99" t="s">
        <v>115</v>
      </c>
      <c r="L51" s="100">
        <v>1</v>
      </c>
      <c r="M51" s="101">
        <f>3191.68*14</f>
        <v>44683.52</v>
      </c>
      <c r="N51" s="101">
        <f>12*(307.93+103.5)</f>
        <v>4937.16</v>
      </c>
      <c r="O51" s="101"/>
      <c r="P51" s="101"/>
      <c r="Q51" s="101"/>
      <c r="R51" s="169">
        <f>SUM(M51:Q51)</f>
        <v>49620.67999999999</v>
      </c>
      <c r="S51" s="150">
        <f aca="true" t="shared" si="4" ref="S51:S64">D51-R51</f>
        <v>6784.200000000004</v>
      </c>
    </row>
    <row r="52" spans="1:19" s="102" customFormat="1" ht="31.5" customHeight="1">
      <c r="A52" s="92" t="s">
        <v>97</v>
      </c>
      <c r="B52" s="92">
        <v>28</v>
      </c>
      <c r="C52" s="92" t="s">
        <v>118</v>
      </c>
      <c r="D52" s="94">
        <v>56404.88</v>
      </c>
      <c r="E52" s="93" t="s">
        <v>98</v>
      </c>
      <c r="F52" s="95">
        <v>40687.92</v>
      </c>
      <c r="G52" s="96">
        <f t="shared" si="3"/>
        <v>15716.96</v>
      </c>
      <c r="H52" s="97" t="s">
        <v>113</v>
      </c>
      <c r="I52" s="98" t="s">
        <v>114</v>
      </c>
      <c r="J52" s="80" t="s">
        <v>101</v>
      </c>
      <c r="K52" s="99" t="s">
        <v>116</v>
      </c>
      <c r="L52" s="98">
        <v>10</v>
      </c>
      <c r="M52" s="101">
        <f>3191.68*14</f>
        <v>44683.52</v>
      </c>
      <c r="N52" s="101">
        <f>(464.21*14)+12*(88.43+103.5)</f>
        <v>8802.099999999999</v>
      </c>
      <c r="O52" s="101"/>
      <c r="P52" s="101"/>
      <c r="Q52" s="101"/>
      <c r="R52" s="101">
        <f>SUM(M52:Q52)</f>
        <v>53485.619999999995</v>
      </c>
      <c r="S52" s="29">
        <f t="shared" si="4"/>
        <v>2919.260000000002</v>
      </c>
    </row>
    <row r="53" spans="1:19" ht="31.5" customHeight="1">
      <c r="A53" s="76" t="s">
        <v>97</v>
      </c>
      <c r="B53" s="76">
        <v>28</v>
      </c>
      <c r="C53" s="76" t="s">
        <v>118</v>
      </c>
      <c r="D53" s="77">
        <v>56404.88</v>
      </c>
      <c r="E53" s="33" t="s">
        <v>98</v>
      </c>
      <c r="F53" s="34">
        <v>40687.92</v>
      </c>
      <c r="G53" s="78">
        <f t="shared" si="3"/>
        <v>15716.96</v>
      </c>
      <c r="H53" s="79" t="s">
        <v>113</v>
      </c>
      <c r="I53" s="80" t="s">
        <v>117</v>
      </c>
      <c r="J53" s="80" t="s">
        <v>101</v>
      </c>
      <c r="K53" s="81" t="s">
        <v>118</v>
      </c>
      <c r="L53" s="80">
        <v>6</v>
      </c>
      <c r="M53" s="28">
        <f>3452.74*14</f>
        <v>48338.36</v>
      </c>
      <c r="N53" s="28">
        <f>53.45*12+9.48*14+695.6*12</f>
        <v>9121.320000000002</v>
      </c>
      <c r="O53" s="28"/>
      <c r="P53" s="28"/>
      <c r="Q53" s="28"/>
      <c r="R53" s="28">
        <f aca="true" t="shared" si="5" ref="R53:R64">M53+N53+O53+P53+Q53</f>
        <v>57459.68</v>
      </c>
      <c r="S53" s="29">
        <f t="shared" si="4"/>
        <v>-1054.800000000003</v>
      </c>
    </row>
    <row r="54" spans="1:19" ht="31.5" customHeight="1">
      <c r="A54" s="76" t="s">
        <v>97</v>
      </c>
      <c r="B54" s="76">
        <v>28</v>
      </c>
      <c r="C54" s="76" t="s">
        <v>118</v>
      </c>
      <c r="D54" s="77">
        <v>56404.88</v>
      </c>
      <c r="E54" s="33" t="s">
        <v>98</v>
      </c>
      <c r="F54" s="34">
        <v>40687.92</v>
      </c>
      <c r="G54" s="78">
        <f t="shared" si="3"/>
        <v>15716.96</v>
      </c>
      <c r="H54" s="79" t="s">
        <v>113</v>
      </c>
      <c r="I54" s="80" t="s">
        <v>104</v>
      </c>
      <c r="J54" s="80" t="s">
        <v>101</v>
      </c>
      <c r="K54" s="81" t="s">
        <v>119</v>
      </c>
      <c r="L54" s="80">
        <v>2</v>
      </c>
      <c r="M54" s="28">
        <v>34518.4</v>
      </c>
      <c r="N54" s="28">
        <f>133.84+318.22+811.86</f>
        <v>1263.92</v>
      </c>
      <c r="O54" s="28">
        <f>12443.06+4566.52</f>
        <v>17009.58</v>
      </c>
      <c r="P54" s="28"/>
      <c r="Q54" s="28"/>
      <c r="R54" s="28">
        <f t="shared" si="5"/>
        <v>52791.9</v>
      </c>
      <c r="S54" s="29">
        <f t="shared" si="4"/>
        <v>3612.979999999996</v>
      </c>
    </row>
    <row r="55" spans="1:19" ht="31.5" customHeight="1">
      <c r="A55" s="76" t="s">
        <v>97</v>
      </c>
      <c r="B55" s="76">
        <v>28</v>
      </c>
      <c r="C55" s="76" t="s">
        <v>118</v>
      </c>
      <c r="D55" s="77">
        <v>56404.88</v>
      </c>
      <c r="E55" s="33" t="s">
        <v>98</v>
      </c>
      <c r="F55" s="34">
        <v>40687.92</v>
      </c>
      <c r="G55" s="78">
        <f t="shared" si="3"/>
        <v>15716.96</v>
      </c>
      <c r="H55" s="79" t="s">
        <v>113</v>
      </c>
      <c r="I55" s="103" t="s">
        <v>67</v>
      </c>
      <c r="J55" s="104" t="s">
        <v>101</v>
      </c>
      <c r="K55" s="105" t="s">
        <v>120</v>
      </c>
      <c r="L55" s="104">
        <v>1</v>
      </c>
      <c r="M55" s="106">
        <v>21655.48</v>
      </c>
      <c r="N55" s="106">
        <f>4423.44+2505.16</f>
        <v>6928.599999999999</v>
      </c>
      <c r="O55" s="106">
        <v>33089</v>
      </c>
      <c r="P55" s="106"/>
      <c r="Q55" s="106">
        <v>511.7</v>
      </c>
      <c r="R55" s="106">
        <f t="shared" si="5"/>
        <v>62184.78</v>
      </c>
      <c r="S55" s="29">
        <f t="shared" si="4"/>
        <v>-5779.9000000000015</v>
      </c>
    </row>
    <row r="56" spans="1:19" ht="31.5" customHeight="1">
      <c r="A56" s="76" t="s">
        <v>97</v>
      </c>
      <c r="B56" s="76">
        <v>28</v>
      </c>
      <c r="C56" s="76" t="s">
        <v>118</v>
      </c>
      <c r="D56" s="77">
        <v>56404.88</v>
      </c>
      <c r="E56" s="33" t="s">
        <v>98</v>
      </c>
      <c r="F56" s="34">
        <v>40687.92</v>
      </c>
      <c r="G56" s="78">
        <f t="shared" si="3"/>
        <v>15716.96</v>
      </c>
      <c r="H56" s="79" t="s">
        <v>113</v>
      </c>
      <c r="I56" s="103" t="s">
        <v>67</v>
      </c>
      <c r="J56" s="104" t="s">
        <v>101</v>
      </c>
      <c r="K56" s="105" t="s">
        <v>121</v>
      </c>
      <c r="L56" s="104">
        <v>1</v>
      </c>
      <c r="M56" s="106">
        <v>21655.48</v>
      </c>
      <c r="N56" s="106">
        <f>4423.44+2505.16</f>
        <v>6928.599999999999</v>
      </c>
      <c r="O56" s="106">
        <v>28262.08</v>
      </c>
      <c r="P56" s="106"/>
      <c r="Q56" s="106">
        <v>511.7</v>
      </c>
      <c r="R56" s="106">
        <f t="shared" si="5"/>
        <v>57357.86</v>
      </c>
      <c r="S56" s="29">
        <f t="shared" si="4"/>
        <v>-952.9800000000032</v>
      </c>
    </row>
    <row r="57" spans="1:19" ht="31.5" customHeight="1">
      <c r="A57" s="76" t="s">
        <v>97</v>
      </c>
      <c r="B57" s="76">
        <v>28</v>
      </c>
      <c r="C57" s="76" t="s">
        <v>118</v>
      </c>
      <c r="D57" s="77">
        <v>56404.88</v>
      </c>
      <c r="E57" s="33" t="s">
        <v>122</v>
      </c>
      <c r="F57" s="34">
        <v>40687.92</v>
      </c>
      <c r="G57" s="78">
        <f t="shared" si="3"/>
        <v>15716.96</v>
      </c>
      <c r="H57" s="79" t="s">
        <v>113</v>
      </c>
      <c r="I57" s="103" t="s">
        <v>67</v>
      </c>
      <c r="J57" s="104" t="s">
        <v>123</v>
      </c>
      <c r="K57" s="105" t="s">
        <v>124</v>
      </c>
      <c r="L57" s="104">
        <v>1</v>
      </c>
      <c r="M57" s="106">
        <v>21655.48</v>
      </c>
      <c r="N57" s="106">
        <f>71.26+4423.44+2505.16</f>
        <v>6999.86</v>
      </c>
      <c r="O57" s="106">
        <v>33089</v>
      </c>
      <c r="P57" s="106"/>
      <c r="Q57" s="106">
        <v>511.7</v>
      </c>
      <c r="R57" s="106">
        <f t="shared" si="5"/>
        <v>62256.03999999999</v>
      </c>
      <c r="S57" s="29">
        <f t="shared" si="4"/>
        <v>-5851.159999999996</v>
      </c>
    </row>
    <row r="58" spans="1:19" ht="31.5" customHeight="1">
      <c r="A58" s="76" t="s">
        <v>97</v>
      </c>
      <c r="B58" s="76">
        <v>28</v>
      </c>
      <c r="C58" s="76" t="s">
        <v>118</v>
      </c>
      <c r="D58" s="77">
        <v>56404.88</v>
      </c>
      <c r="E58" s="33" t="s">
        <v>106</v>
      </c>
      <c r="F58" s="34">
        <v>40687.92</v>
      </c>
      <c r="G58" s="78">
        <f t="shared" si="3"/>
        <v>15716.96</v>
      </c>
      <c r="H58" s="79" t="s">
        <v>113</v>
      </c>
      <c r="I58" s="80" t="s">
        <v>104</v>
      </c>
      <c r="J58" s="80" t="s">
        <v>107</v>
      </c>
      <c r="K58" s="81" t="s">
        <v>105</v>
      </c>
      <c r="L58" s="80">
        <v>1</v>
      </c>
      <c r="M58" s="82">
        <v>41937</v>
      </c>
      <c r="N58" s="82">
        <f>114.38+372.26+950.46</f>
        <v>1437.1</v>
      </c>
      <c r="O58" s="82">
        <f>12916.4+4905.32</f>
        <v>17821.72</v>
      </c>
      <c r="P58" s="82"/>
      <c r="Q58" s="82"/>
      <c r="R58" s="82">
        <f t="shared" si="5"/>
        <v>61195.82</v>
      </c>
      <c r="S58" s="29">
        <f t="shared" si="4"/>
        <v>-4790.940000000002</v>
      </c>
    </row>
    <row r="59" spans="1:19" ht="31.5" customHeight="1">
      <c r="A59" s="76" t="s">
        <v>97</v>
      </c>
      <c r="B59" s="76">
        <v>28</v>
      </c>
      <c r="C59" s="76" t="s">
        <v>118</v>
      </c>
      <c r="D59" s="77">
        <v>56404.88</v>
      </c>
      <c r="E59" s="33" t="s">
        <v>106</v>
      </c>
      <c r="F59" s="34">
        <v>40687.92</v>
      </c>
      <c r="G59" s="78">
        <f t="shared" si="3"/>
        <v>15716.96</v>
      </c>
      <c r="H59" s="79" t="s">
        <v>113</v>
      </c>
      <c r="I59" s="80" t="s">
        <v>100</v>
      </c>
      <c r="J59" s="80" t="s">
        <v>107</v>
      </c>
      <c r="K59" s="81" t="s">
        <v>125</v>
      </c>
      <c r="L59" s="80">
        <v>1</v>
      </c>
      <c r="M59" s="28">
        <v>61947.9</v>
      </c>
      <c r="N59" s="28">
        <v>251.58</v>
      </c>
      <c r="O59" s="28"/>
      <c r="P59" s="28"/>
      <c r="Q59" s="28">
        <v>321.36</v>
      </c>
      <c r="R59" s="28">
        <f t="shared" si="5"/>
        <v>62520.840000000004</v>
      </c>
      <c r="S59" s="29">
        <f t="shared" si="4"/>
        <v>-6115.960000000006</v>
      </c>
    </row>
    <row r="60" spans="1:19" ht="31.5" customHeight="1">
      <c r="A60" s="76" t="s">
        <v>97</v>
      </c>
      <c r="B60" s="76">
        <v>28</v>
      </c>
      <c r="C60" s="76" t="s">
        <v>118</v>
      </c>
      <c r="D60" s="77">
        <v>56404.88</v>
      </c>
      <c r="E60" s="33" t="s">
        <v>106</v>
      </c>
      <c r="F60" s="34">
        <v>40687.92</v>
      </c>
      <c r="G60" s="78">
        <f t="shared" si="3"/>
        <v>15716.96</v>
      </c>
      <c r="H60" s="79" t="s">
        <v>113</v>
      </c>
      <c r="I60" s="80" t="s">
        <v>100</v>
      </c>
      <c r="J60" s="80" t="s">
        <v>107</v>
      </c>
      <c r="K60" s="81" t="s">
        <v>126</v>
      </c>
      <c r="L60" s="80">
        <v>4</v>
      </c>
      <c r="M60" s="28">
        <v>56886.9</v>
      </c>
      <c r="N60" s="28">
        <v>274.4</v>
      </c>
      <c r="O60" s="28"/>
      <c r="P60" s="28"/>
      <c r="Q60" s="28">
        <v>321.36</v>
      </c>
      <c r="R60" s="28">
        <f t="shared" si="5"/>
        <v>57482.66</v>
      </c>
      <c r="S60" s="29">
        <f t="shared" si="4"/>
        <v>-1077.780000000006</v>
      </c>
    </row>
    <row r="61" spans="1:19" ht="31.5" customHeight="1">
      <c r="A61" s="76" t="s">
        <v>97</v>
      </c>
      <c r="B61" s="76">
        <v>28</v>
      </c>
      <c r="C61" s="76" t="s">
        <v>118</v>
      </c>
      <c r="D61" s="77">
        <v>56404.88</v>
      </c>
      <c r="E61" s="33" t="s">
        <v>106</v>
      </c>
      <c r="F61" s="34">
        <v>40687.92</v>
      </c>
      <c r="G61" s="78">
        <f t="shared" si="3"/>
        <v>15716.96</v>
      </c>
      <c r="H61" s="79" t="s">
        <v>113</v>
      </c>
      <c r="I61" s="80" t="s">
        <v>100</v>
      </c>
      <c r="J61" s="80" t="s">
        <v>107</v>
      </c>
      <c r="K61" s="81" t="s">
        <v>118</v>
      </c>
      <c r="L61" s="80">
        <v>10</v>
      </c>
      <c r="M61" s="28">
        <v>52737.44</v>
      </c>
      <c r="N61" s="28">
        <v>296.38</v>
      </c>
      <c r="O61" s="28"/>
      <c r="P61" s="28"/>
      <c r="Q61" s="28">
        <v>321.36</v>
      </c>
      <c r="R61" s="28">
        <f t="shared" si="5"/>
        <v>53355.18</v>
      </c>
      <c r="S61" s="29">
        <f t="shared" si="4"/>
        <v>3049.699999999997</v>
      </c>
    </row>
    <row r="62" spans="1:19" ht="31.5" customHeight="1">
      <c r="A62" s="76" t="s">
        <v>97</v>
      </c>
      <c r="B62" s="76">
        <v>28</v>
      </c>
      <c r="C62" s="76" t="s">
        <v>118</v>
      </c>
      <c r="D62" s="77">
        <v>56404.88</v>
      </c>
      <c r="E62" s="33" t="s">
        <v>127</v>
      </c>
      <c r="F62" s="34">
        <v>40687.92</v>
      </c>
      <c r="G62" s="78">
        <f t="shared" si="3"/>
        <v>15716.96</v>
      </c>
      <c r="H62" s="79" t="s">
        <v>113</v>
      </c>
      <c r="I62" s="80" t="s">
        <v>128</v>
      </c>
      <c r="J62" s="80" t="s">
        <v>129</v>
      </c>
      <c r="K62" s="107" t="s">
        <v>130</v>
      </c>
      <c r="L62" s="80">
        <v>1</v>
      </c>
      <c r="M62" s="28">
        <f>1390.04*14</f>
        <v>19460.559999999998</v>
      </c>
      <c r="N62" s="28">
        <f>322.46*14+44.85*14+22.82*14+126.43*14+133.12*14</f>
        <v>9095.52</v>
      </c>
      <c r="O62" s="28">
        <f>841.65*14</f>
        <v>11783.1</v>
      </c>
      <c r="P62" s="28"/>
      <c r="Q62" s="28"/>
      <c r="R62" s="28">
        <f t="shared" si="5"/>
        <v>40339.18</v>
      </c>
      <c r="S62" s="29">
        <f t="shared" si="4"/>
        <v>16065.699999999997</v>
      </c>
    </row>
    <row r="63" spans="1:19" ht="31.5" customHeight="1">
      <c r="A63" s="76" t="s">
        <v>97</v>
      </c>
      <c r="B63" s="76">
        <v>28</v>
      </c>
      <c r="C63" s="76" t="s">
        <v>118</v>
      </c>
      <c r="D63" s="77">
        <v>56404.88</v>
      </c>
      <c r="E63" s="33" t="s">
        <v>127</v>
      </c>
      <c r="F63" s="34">
        <v>40687.92</v>
      </c>
      <c r="G63" s="78">
        <f t="shared" si="3"/>
        <v>15716.96</v>
      </c>
      <c r="H63" s="79" t="s">
        <v>113</v>
      </c>
      <c r="I63" s="80" t="s">
        <v>128</v>
      </c>
      <c r="J63" s="80" t="s">
        <v>129</v>
      </c>
      <c r="K63" s="107" t="s">
        <v>131</v>
      </c>
      <c r="L63" s="80">
        <v>1</v>
      </c>
      <c r="M63" s="28">
        <f>1390.04*14</f>
        <v>19460.559999999998</v>
      </c>
      <c r="N63" s="28">
        <f>(237.7+44.85+26.2+282.45+297.39)*14</f>
        <v>12440.26</v>
      </c>
      <c r="O63" s="28">
        <f>602.71*14</f>
        <v>8437.94</v>
      </c>
      <c r="P63" s="28"/>
      <c r="Q63" s="28"/>
      <c r="R63" s="28">
        <f t="shared" si="5"/>
        <v>40338.76</v>
      </c>
      <c r="S63" s="29">
        <f t="shared" si="4"/>
        <v>16066.119999999995</v>
      </c>
    </row>
    <row r="64" spans="1:19" ht="31.5" customHeight="1">
      <c r="A64" s="76" t="s">
        <v>97</v>
      </c>
      <c r="B64" s="76">
        <v>28</v>
      </c>
      <c r="C64" s="76" t="s">
        <v>118</v>
      </c>
      <c r="D64" s="77">
        <v>56404.88</v>
      </c>
      <c r="E64" s="33" t="s">
        <v>127</v>
      </c>
      <c r="F64" s="34">
        <v>40687.92</v>
      </c>
      <c r="G64" s="78">
        <f t="shared" si="3"/>
        <v>15716.96</v>
      </c>
      <c r="H64" s="79" t="s">
        <v>113</v>
      </c>
      <c r="I64" s="80" t="s">
        <v>128</v>
      </c>
      <c r="J64" s="80" t="s">
        <v>129</v>
      </c>
      <c r="K64" s="107" t="s">
        <v>132</v>
      </c>
      <c r="L64" s="80">
        <v>1</v>
      </c>
      <c r="M64" s="28">
        <f>1390.04*14</f>
        <v>19460.559999999998</v>
      </c>
      <c r="N64" s="28">
        <f>(318.82+44.85+21.88+75.33+79.31)*14</f>
        <v>7562.660000000001</v>
      </c>
      <c r="O64" s="28">
        <f>951.11*14</f>
        <v>13315.54</v>
      </c>
      <c r="P64" s="28"/>
      <c r="Q64" s="28"/>
      <c r="R64" s="28">
        <f t="shared" si="5"/>
        <v>40338.759999999995</v>
      </c>
      <c r="S64" s="29">
        <f t="shared" si="4"/>
        <v>16066.120000000003</v>
      </c>
    </row>
    <row r="65" spans="1:19" ht="31.5" customHeight="1">
      <c r="A65" s="83"/>
      <c r="B65" s="83"/>
      <c r="C65" s="83"/>
      <c r="D65" s="85"/>
      <c r="E65" s="84"/>
      <c r="F65" s="86"/>
      <c r="G65" s="87"/>
      <c r="H65" s="84"/>
      <c r="I65" s="88"/>
      <c r="J65" s="88"/>
      <c r="K65" s="89"/>
      <c r="L65" s="88"/>
      <c r="M65" s="90"/>
      <c r="N65" s="90"/>
      <c r="O65" s="90"/>
      <c r="P65" s="90"/>
      <c r="Q65" s="90"/>
      <c r="R65" s="90"/>
      <c r="S65" s="91"/>
    </row>
    <row r="66" spans="1:19" s="102" customFormat="1" ht="31.5" customHeight="1">
      <c r="A66" s="92" t="s">
        <v>97</v>
      </c>
      <c r="B66" s="92">
        <v>28</v>
      </c>
      <c r="C66" s="92" t="s">
        <v>365</v>
      </c>
      <c r="D66" s="94">
        <v>56192.92</v>
      </c>
      <c r="E66" s="93" t="s">
        <v>98</v>
      </c>
      <c r="F66" s="95">
        <v>40687.92</v>
      </c>
      <c r="G66" s="96">
        <f>D66-F66</f>
        <v>15505</v>
      </c>
      <c r="H66" s="97" t="s">
        <v>133</v>
      </c>
      <c r="I66" s="170" t="s">
        <v>67</v>
      </c>
      <c r="J66" s="171" t="s">
        <v>101</v>
      </c>
      <c r="K66" s="172" t="s">
        <v>134</v>
      </c>
      <c r="L66" s="171">
        <v>1</v>
      </c>
      <c r="M66" s="173">
        <v>21655.48</v>
      </c>
      <c r="N66" s="173">
        <f>4423.44+2505.16</f>
        <v>6928.599999999999</v>
      </c>
      <c r="O66" s="173">
        <v>28262.08</v>
      </c>
      <c r="P66" s="173"/>
      <c r="Q66" s="173">
        <v>511.7</v>
      </c>
      <c r="R66" s="174">
        <f>M66+N66+O66+P66+Q66</f>
        <v>57357.86</v>
      </c>
      <c r="S66" s="150">
        <f>D66-R66</f>
        <v>-1164.9400000000023</v>
      </c>
    </row>
    <row r="67" spans="1:19" s="102" customFormat="1" ht="31.5" customHeight="1">
      <c r="A67" s="92" t="s">
        <v>97</v>
      </c>
      <c r="B67" s="92">
        <v>28</v>
      </c>
      <c r="C67" s="92" t="s">
        <v>365</v>
      </c>
      <c r="D67" s="94">
        <v>56192.92</v>
      </c>
      <c r="E67" s="93" t="s">
        <v>98</v>
      </c>
      <c r="F67" s="95">
        <v>40687.92</v>
      </c>
      <c r="G67" s="96">
        <f>D67-F67</f>
        <v>15505</v>
      </c>
      <c r="H67" s="97" t="s">
        <v>133</v>
      </c>
      <c r="I67" s="170" t="s">
        <v>67</v>
      </c>
      <c r="J67" s="171" t="s">
        <v>101</v>
      </c>
      <c r="K67" s="172" t="s">
        <v>135</v>
      </c>
      <c r="L67" s="171">
        <v>1</v>
      </c>
      <c r="M67" s="173">
        <v>21655.48</v>
      </c>
      <c r="N67" s="173">
        <f>4423.44+2505.16</f>
        <v>6928.599999999999</v>
      </c>
      <c r="O67" s="173">
        <v>28262.08</v>
      </c>
      <c r="P67" s="173"/>
      <c r="Q67" s="173">
        <v>511.7</v>
      </c>
      <c r="R67" s="174">
        <f>M67+N67+O67+P67+Q67</f>
        <v>57357.86</v>
      </c>
      <c r="S67" s="150">
        <f>D67-R67</f>
        <v>-1164.9400000000023</v>
      </c>
    </row>
    <row r="68" spans="1:19" ht="31.5" customHeight="1">
      <c r="A68" s="83"/>
      <c r="B68" s="83"/>
      <c r="C68" s="83"/>
      <c r="D68" s="85"/>
      <c r="E68" s="84"/>
      <c r="F68" s="86"/>
      <c r="G68" s="87"/>
      <c r="H68" s="84"/>
      <c r="I68" s="88"/>
      <c r="J68" s="88"/>
      <c r="K68" s="89"/>
      <c r="L68" s="88"/>
      <c r="M68" s="90"/>
      <c r="N68" s="90"/>
      <c r="O68" s="90"/>
      <c r="P68" s="90"/>
      <c r="Q68" s="90"/>
      <c r="R68" s="90"/>
      <c r="S68" s="29"/>
    </row>
    <row r="69" spans="1:19" ht="31.5" customHeight="1">
      <c r="A69" s="76" t="s">
        <v>97</v>
      </c>
      <c r="B69" s="76">
        <v>26</v>
      </c>
      <c r="C69" s="76" t="s">
        <v>366</v>
      </c>
      <c r="D69" s="77">
        <v>54402.32</v>
      </c>
      <c r="E69" s="33" t="s">
        <v>98</v>
      </c>
      <c r="F69" s="34">
        <v>40687.92</v>
      </c>
      <c r="G69" s="78">
        <f>D69-F69</f>
        <v>13714.400000000001</v>
      </c>
      <c r="H69" s="79" t="s">
        <v>136</v>
      </c>
      <c r="I69" s="80" t="s">
        <v>117</v>
      </c>
      <c r="J69" s="80" t="s">
        <v>101</v>
      </c>
      <c r="K69" s="81" t="s">
        <v>137</v>
      </c>
      <c r="L69" s="80">
        <v>6</v>
      </c>
      <c r="M69" s="28">
        <f>2864.7*14</f>
        <v>40105.799999999996</v>
      </c>
      <c r="N69" s="28">
        <f>53.45*12+9.48*14+582.1*12</f>
        <v>7759.320000000001</v>
      </c>
      <c r="O69" s="28"/>
      <c r="P69" s="28"/>
      <c r="Q69" s="28"/>
      <c r="R69" s="28">
        <f>M69+N69+O69+P69+Q69</f>
        <v>47865.119999999995</v>
      </c>
      <c r="S69" s="29">
        <f>D69-R69</f>
        <v>6537.200000000004</v>
      </c>
    </row>
    <row r="71" spans="1:19" ht="31.5" customHeight="1">
      <c r="A71" s="76" t="s">
        <v>97</v>
      </c>
      <c r="B71" s="76">
        <v>26</v>
      </c>
      <c r="C71" s="76" t="s">
        <v>366</v>
      </c>
      <c r="D71" s="77">
        <v>54402.32</v>
      </c>
      <c r="E71" s="33" t="s">
        <v>98</v>
      </c>
      <c r="F71" s="34">
        <v>40687.92</v>
      </c>
      <c r="G71" s="78">
        <f>D71-F71</f>
        <v>13714.400000000001</v>
      </c>
      <c r="H71" s="79" t="s">
        <v>136</v>
      </c>
      <c r="I71" s="103" t="s">
        <v>67</v>
      </c>
      <c r="J71" s="104" t="s">
        <v>101</v>
      </c>
      <c r="K71" s="105" t="s">
        <v>140</v>
      </c>
      <c r="L71" s="104">
        <v>1</v>
      </c>
      <c r="M71" s="106">
        <v>17089.66</v>
      </c>
      <c r="N71" s="106">
        <v>12312.3</v>
      </c>
      <c r="O71" s="106">
        <v>25790.66</v>
      </c>
      <c r="P71" s="106"/>
      <c r="Q71" s="106">
        <v>632.24</v>
      </c>
      <c r="R71" s="106">
        <f>M71+N71+O71+P71+Q71</f>
        <v>55824.85999999999</v>
      </c>
      <c r="S71" s="29">
        <f>D71-R71</f>
        <v>-1422.5399999999936</v>
      </c>
    </row>
    <row r="72" spans="1:19" ht="31.5" customHeight="1">
      <c r="A72" s="76" t="s">
        <v>97</v>
      </c>
      <c r="B72" s="76">
        <v>26</v>
      </c>
      <c r="C72" s="76" t="s">
        <v>366</v>
      </c>
      <c r="D72" s="77">
        <v>54402.32</v>
      </c>
      <c r="E72" s="33" t="s">
        <v>106</v>
      </c>
      <c r="F72" s="34">
        <v>40687.92</v>
      </c>
      <c r="G72" s="78">
        <f>D72-F72</f>
        <v>13714.400000000001</v>
      </c>
      <c r="H72" s="79" t="s">
        <v>136</v>
      </c>
      <c r="I72" s="80" t="s">
        <v>100</v>
      </c>
      <c r="J72" s="80" t="s">
        <v>107</v>
      </c>
      <c r="K72" s="81" t="s">
        <v>141</v>
      </c>
      <c r="L72" s="80">
        <v>5</v>
      </c>
      <c r="M72" s="28">
        <v>50084.3</v>
      </c>
      <c r="N72" s="28">
        <v>312.34</v>
      </c>
      <c r="O72" s="28"/>
      <c r="P72" s="28"/>
      <c r="Q72" s="28">
        <v>321.36</v>
      </c>
      <c r="R72" s="28">
        <f>M72+N72+O72+P72+Q72</f>
        <v>50718</v>
      </c>
      <c r="S72" s="29">
        <f>D72-R72</f>
        <v>3684.3199999999997</v>
      </c>
    </row>
    <row r="73" spans="1:19" ht="31.5" customHeight="1">
      <c r="A73" s="76" t="s">
        <v>97</v>
      </c>
      <c r="B73" s="76">
        <v>26</v>
      </c>
      <c r="C73" s="76" t="s">
        <v>366</v>
      </c>
      <c r="D73" s="77">
        <v>54402.32</v>
      </c>
      <c r="E73" s="33" t="s">
        <v>106</v>
      </c>
      <c r="F73" s="34">
        <v>40687.92</v>
      </c>
      <c r="G73" s="78">
        <f>D73-F73</f>
        <v>13714.400000000001</v>
      </c>
      <c r="H73" s="79" t="s">
        <v>136</v>
      </c>
      <c r="I73" s="80" t="s">
        <v>104</v>
      </c>
      <c r="J73" s="80" t="s">
        <v>107</v>
      </c>
      <c r="K73" s="81" t="s">
        <v>142</v>
      </c>
      <c r="L73" s="80">
        <v>1</v>
      </c>
      <c r="M73" s="28">
        <v>43925.56</v>
      </c>
      <c r="N73" s="28">
        <f>130.06+329.28+836.36</f>
        <v>1295.7</v>
      </c>
      <c r="O73" s="28">
        <f>4417.42+4777.5+239.82</f>
        <v>9434.74</v>
      </c>
      <c r="P73" s="28"/>
      <c r="Q73" s="28"/>
      <c r="R73" s="28">
        <f>M73+N73+O73+P73+Q73</f>
        <v>54655.99999999999</v>
      </c>
      <c r="S73" s="29">
        <f>D73-R73</f>
        <v>-253.67999999999302</v>
      </c>
    </row>
    <row r="74" spans="1:19" ht="31.5" customHeight="1">
      <c r="A74" s="76" t="s">
        <v>97</v>
      </c>
      <c r="B74" s="76">
        <v>26</v>
      </c>
      <c r="C74" s="76" t="s">
        <v>366</v>
      </c>
      <c r="D74" s="77">
        <v>54402.32</v>
      </c>
      <c r="E74" s="33" t="s">
        <v>106</v>
      </c>
      <c r="F74" s="34">
        <v>40687.92</v>
      </c>
      <c r="G74" s="78">
        <f>D74-F74</f>
        <v>13714.400000000001</v>
      </c>
      <c r="H74" s="79" t="s">
        <v>136</v>
      </c>
      <c r="I74" s="80" t="s">
        <v>100</v>
      </c>
      <c r="J74" s="80" t="s">
        <v>107</v>
      </c>
      <c r="K74" s="81" t="s">
        <v>143</v>
      </c>
      <c r="L74" s="80">
        <v>6</v>
      </c>
      <c r="M74" s="28">
        <v>50084.3</v>
      </c>
      <c r="N74" s="28">
        <v>312.34</v>
      </c>
      <c r="O74" s="28"/>
      <c r="P74" s="28"/>
      <c r="Q74" s="28">
        <v>321.36</v>
      </c>
      <c r="R74" s="28">
        <f>M74+N74+O74+P74+Q74</f>
        <v>50718</v>
      </c>
      <c r="S74" s="29">
        <f>D74-R74</f>
        <v>3684.3199999999997</v>
      </c>
    </row>
    <row r="75" spans="1:19" ht="31.5" customHeight="1">
      <c r="A75" s="76" t="s">
        <v>97</v>
      </c>
      <c r="B75" s="76">
        <v>26</v>
      </c>
      <c r="C75" s="76" t="s">
        <v>366</v>
      </c>
      <c r="D75" s="77">
        <v>54402.32</v>
      </c>
      <c r="E75" s="33" t="s">
        <v>127</v>
      </c>
      <c r="F75" s="34">
        <v>40687.92</v>
      </c>
      <c r="G75" s="78">
        <f>D75-F75</f>
        <v>13714.400000000001</v>
      </c>
      <c r="H75" s="79" t="s">
        <v>136</v>
      </c>
      <c r="I75" s="80" t="s">
        <v>128</v>
      </c>
      <c r="J75" s="80" t="s">
        <v>129</v>
      </c>
      <c r="K75" s="107" t="s">
        <v>144</v>
      </c>
      <c r="L75" s="80">
        <v>1</v>
      </c>
      <c r="M75" s="28">
        <f>1390.04*14</f>
        <v>19460.559999999998</v>
      </c>
      <c r="N75" s="28">
        <f>(237.7+44.85+26.2+282.45+297.39)*14</f>
        <v>12440.26</v>
      </c>
      <c r="O75" s="28">
        <f>602.71*14</f>
        <v>8437.94</v>
      </c>
      <c r="P75" s="28"/>
      <c r="Q75" s="28"/>
      <c r="R75" s="28">
        <f>M75+N75+O75+P75+Q75</f>
        <v>40338.76</v>
      </c>
      <c r="S75" s="29">
        <f>D75-R75</f>
        <v>14063.559999999998</v>
      </c>
    </row>
    <row r="76" spans="1:19" ht="31.5" customHeight="1">
      <c r="A76" s="83"/>
      <c r="B76" s="83"/>
      <c r="C76" s="83"/>
      <c r="D76" s="85"/>
      <c r="E76" s="84"/>
      <c r="F76" s="86"/>
      <c r="G76" s="87"/>
      <c r="H76" s="84"/>
      <c r="I76" s="88"/>
      <c r="J76" s="88"/>
      <c r="K76" s="89"/>
      <c r="L76" s="88"/>
      <c r="M76" s="90"/>
      <c r="N76" s="90"/>
      <c r="O76" s="90"/>
      <c r="P76" s="90"/>
      <c r="Q76" s="90"/>
      <c r="R76" s="90"/>
      <c r="S76" s="29"/>
    </row>
    <row r="77" spans="1:19" ht="31.5" customHeight="1">
      <c r="A77" s="76" t="s">
        <v>97</v>
      </c>
      <c r="B77" s="76">
        <v>26</v>
      </c>
      <c r="C77" s="76" t="s">
        <v>367</v>
      </c>
      <c r="D77" s="77">
        <v>53449.34</v>
      </c>
      <c r="E77" s="33" t="s">
        <v>98</v>
      </c>
      <c r="F77" s="34">
        <v>40687.92</v>
      </c>
      <c r="G77" s="78">
        <f>D77-F77</f>
        <v>12761.419999999998</v>
      </c>
      <c r="H77" s="79" t="s">
        <v>145</v>
      </c>
      <c r="I77" s="80" t="s">
        <v>104</v>
      </c>
      <c r="J77" s="80" t="s">
        <v>101</v>
      </c>
      <c r="K77" s="81" t="s">
        <v>146</v>
      </c>
      <c r="L77" s="80">
        <v>1</v>
      </c>
      <c r="M77" s="28">
        <v>32236.54</v>
      </c>
      <c r="N77" s="28">
        <f>143.22+297.64+758.94</f>
        <v>1199.8000000000002</v>
      </c>
      <c r="O77" s="28">
        <f>11718.42+4252.78</f>
        <v>15971.2</v>
      </c>
      <c r="P77" s="28"/>
      <c r="Q77" s="28"/>
      <c r="R77" s="28">
        <f>M77+N77+O77+P77+Q77</f>
        <v>49407.54000000001</v>
      </c>
      <c r="S77" s="29">
        <f>D77-R77</f>
        <v>4041.7999999999884</v>
      </c>
    </row>
    <row r="78" spans="1:19" ht="31.5" customHeight="1">
      <c r="A78" s="76" t="s">
        <v>97</v>
      </c>
      <c r="B78" s="76">
        <v>26</v>
      </c>
      <c r="C78" s="76" t="s">
        <v>367</v>
      </c>
      <c r="D78" s="77">
        <v>53449.34</v>
      </c>
      <c r="E78" s="33" t="s">
        <v>122</v>
      </c>
      <c r="F78" s="34">
        <v>40687.92</v>
      </c>
      <c r="G78" s="78">
        <f>D78-F78</f>
        <v>12761.419999999998</v>
      </c>
      <c r="H78" s="79" t="s">
        <v>145</v>
      </c>
      <c r="I78" s="80" t="s">
        <v>104</v>
      </c>
      <c r="J78" s="80" t="s">
        <v>123</v>
      </c>
      <c r="K78" s="81" t="s">
        <v>147</v>
      </c>
      <c r="L78" s="80">
        <v>1</v>
      </c>
      <c r="M78" s="28">
        <v>32236.54</v>
      </c>
      <c r="N78" s="28">
        <f>143.22+297.64+758.94</f>
        <v>1199.8000000000002</v>
      </c>
      <c r="O78" s="28">
        <f>11718.42+4252.78</f>
        <v>15971.2</v>
      </c>
      <c r="P78" s="28"/>
      <c r="Q78" s="28"/>
      <c r="R78" s="28">
        <f>M78+N78+O78+P78+Q78</f>
        <v>49407.54000000001</v>
      </c>
      <c r="S78" s="29">
        <f>D78-R78</f>
        <v>4041.7999999999884</v>
      </c>
    </row>
    <row r="79" spans="1:19" ht="31.5" customHeight="1">
      <c r="A79" s="83"/>
      <c r="B79" s="83"/>
      <c r="C79" s="83"/>
      <c r="D79" s="85"/>
      <c r="E79" s="84"/>
      <c r="F79" s="86"/>
      <c r="G79" s="87"/>
      <c r="H79" s="84"/>
      <c r="I79" s="88"/>
      <c r="J79" s="88"/>
      <c r="K79" s="89"/>
      <c r="L79" s="88"/>
      <c r="M79" s="90"/>
      <c r="N79" s="90"/>
      <c r="O79" s="90"/>
      <c r="P79" s="90"/>
      <c r="Q79" s="90"/>
      <c r="R79" s="90"/>
      <c r="S79" s="29">
        <f>D79-R79</f>
        <v>0</v>
      </c>
    </row>
    <row r="80" spans="1:19" ht="31.5" customHeight="1">
      <c r="A80" s="76" t="s">
        <v>97</v>
      </c>
      <c r="B80" s="76">
        <v>24</v>
      </c>
      <c r="C80" s="76" t="s">
        <v>368</v>
      </c>
      <c r="D80" s="77">
        <v>51361.94</v>
      </c>
      <c r="E80" s="33" t="s">
        <v>98</v>
      </c>
      <c r="F80" s="34">
        <v>40687.92</v>
      </c>
      <c r="G80" s="78">
        <f aca="true" t="shared" si="6" ref="G80:G85">D80-F80</f>
        <v>10674.020000000004</v>
      </c>
      <c r="H80" s="79" t="s">
        <v>369</v>
      </c>
      <c r="I80" s="80" t="s">
        <v>117</v>
      </c>
      <c r="J80" s="80" t="s">
        <v>138</v>
      </c>
      <c r="K80" s="81" t="s">
        <v>139</v>
      </c>
      <c r="L80" s="80">
        <v>22</v>
      </c>
      <c r="M80" s="28">
        <f>2615.18*14</f>
        <v>36612.52</v>
      </c>
      <c r="N80" s="28">
        <f>53.45*12+9.48*14+451.77*12</f>
        <v>6195.36</v>
      </c>
      <c r="O80" s="28"/>
      <c r="P80" s="28"/>
      <c r="Q80" s="28">
        <v>3064.32</v>
      </c>
      <c r="R80" s="28">
        <f>M80+N80+O80+P80+Q80</f>
        <v>45872.2</v>
      </c>
      <c r="S80" s="29">
        <f>D80-R80</f>
        <v>5489.740000000005</v>
      </c>
    </row>
    <row r="81" spans="1:8" ht="31.5" customHeight="1">
      <c r="A81" s="76" t="s">
        <v>97</v>
      </c>
      <c r="B81" s="76">
        <v>24</v>
      </c>
      <c r="C81" s="76" t="s">
        <v>368</v>
      </c>
      <c r="D81" s="77">
        <v>51361.94</v>
      </c>
      <c r="E81" s="33" t="s">
        <v>98</v>
      </c>
      <c r="F81" s="34">
        <v>40687.92</v>
      </c>
      <c r="G81" s="78">
        <f t="shared" si="6"/>
        <v>10674.020000000004</v>
      </c>
      <c r="H81" s="79" t="s">
        <v>148</v>
      </c>
    </row>
    <row r="82" spans="1:19" ht="31.5" customHeight="1">
      <c r="A82" s="76" t="s">
        <v>97</v>
      </c>
      <c r="B82" s="76">
        <v>24</v>
      </c>
      <c r="C82" s="76" t="s">
        <v>368</v>
      </c>
      <c r="D82" s="77">
        <v>51361.94</v>
      </c>
      <c r="E82" s="33" t="s">
        <v>98</v>
      </c>
      <c r="F82" s="34">
        <v>40687.92</v>
      </c>
      <c r="G82" s="78">
        <f t="shared" si="6"/>
        <v>10674.020000000004</v>
      </c>
      <c r="H82" s="79" t="s">
        <v>150</v>
      </c>
      <c r="I82" s="80" t="s">
        <v>104</v>
      </c>
      <c r="J82" s="80" t="s">
        <v>101</v>
      </c>
      <c r="K82" s="81" t="s">
        <v>151</v>
      </c>
      <c r="L82" s="80">
        <v>7</v>
      </c>
      <c r="M82" s="28">
        <v>27288.1</v>
      </c>
      <c r="N82" s="28">
        <f>181.02+235.9+600.46</f>
        <v>1017.3800000000001</v>
      </c>
      <c r="O82" s="28">
        <f>7646.38+3771.32</f>
        <v>11417.7</v>
      </c>
      <c r="P82" s="28"/>
      <c r="Q82" s="28"/>
      <c r="R82" s="28">
        <f>M82+N82+O82+P82+Q82</f>
        <v>39723.18</v>
      </c>
      <c r="S82" s="29">
        <f>D82-R82</f>
        <v>11638.760000000002</v>
      </c>
    </row>
    <row r="83" spans="1:19" ht="31.5" customHeight="1">
      <c r="A83" s="76" t="s">
        <v>97</v>
      </c>
      <c r="B83" s="76">
        <v>24</v>
      </c>
      <c r="C83" s="76" t="s">
        <v>368</v>
      </c>
      <c r="D83" s="77">
        <v>51361.94</v>
      </c>
      <c r="E83" s="33" t="s">
        <v>106</v>
      </c>
      <c r="F83" s="34">
        <v>40687.92</v>
      </c>
      <c r="G83" s="78">
        <f t="shared" si="6"/>
        <v>10674.020000000004</v>
      </c>
      <c r="H83" s="79" t="s">
        <v>150</v>
      </c>
      <c r="I83" s="80" t="s">
        <v>100</v>
      </c>
      <c r="J83" s="80" t="s">
        <v>107</v>
      </c>
      <c r="K83" s="81" t="s">
        <v>152</v>
      </c>
      <c r="L83" s="80">
        <v>13</v>
      </c>
      <c r="M83" s="28">
        <v>46892.72</v>
      </c>
      <c r="N83" s="28">
        <v>334.04</v>
      </c>
      <c r="O83" s="28"/>
      <c r="P83" s="28"/>
      <c r="Q83" s="28">
        <v>321.36</v>
      </c>
      <c r="R83" s="28">
        <f>M83+N83+O83+P83+Q83</f>
        <v>47548.12</v>
      </c>
      <c r="S83" s="29">
        <f>D83-R83</f>
        <v>3813.8199999999997</v>
      </c>
    </row>
    <row r="84" spans="1:19" ht="31.5" customHeight="1">
      <c r="A84" s="76" t="s">
        <v>97</v>
      </c>
      <c r="B84" s="76">
        <v>24</v>
      </c>
      <c r="C84" s="76" t="s">
        <v>368</v>
      </c>
      <c r="D84" s="77">
        <v>51361.94</v>
      </c>
      <c r="E84" s="33" t="s">
        <v>106</v>
      </c>
      <c r="F84" s="34">
        <v>40687.92</v>
      </c>
      <c r="G84" s="78">
        <f t="shared" si="6"/>
        <v>10674.020000000004</v>
      </c>
      <c r="H84" s="79" t="s">
        <v>150</v>
      </c>
      <c r="I84" s="80" t="s">
        <v>100</v>
      </c>
      <c r="J84" s="80" t="s">
        <v>107</v>
      </c>
      <c r="K84" s="81" t="s">
        <v>153</v>
      </c>
      <c r="L84" s="80">
        <v>13</v>
      </c>
      <c r="M84" s="28">
        <v>46892.72</v>
      </c>
      <c r="N84" s="28">
        <v>334.04</v>
      </c>
      <c r="O84" s="28"/>
      <c r="P84" s="28"/>
      <c r="Q84" s="28">
        <v>321.36</v>
      </c>
      <c r="R84" s="28">
        <f>M84+N84+O84+P84+Q84</f>
        <v>47548.12</v>
      </c>
      <c r="S84" s="29">
        <f>D84-R84</f>
        <v>3813.8199999999997</v>
      </c>
    </row>
    <row r="85" spans="1:19" ht="31.5" customHeight="1">
      <c r="A85" s="76" t="s">
        <v>97</v>
      </c>
      <c r="B85" s="76">
        <v>24</v>
      </c>
      <c r="C85" s="76" t="s">
        <v>368</v>
      </c>
      <c r="D85" s="77">
        <v>51361.94</v>
      </c>
      <c r="E85" s="33" t="s">
        <v>106</v>
      </c>
      <c r="F85" s="34">
        <v>40687.92</v>
      </c>
      <c r="G85" s="78">
        <f t="shared" si="6"/>
        <v>10674.020000000004</v>
      </c>
      <c r="H85" s="79" t="s">
        <v>150</v>
      </c>
      <c r="I85" s="80" t="s">
        <v>104</v>
      </c>
      <c r="J85" s="80" t="s">
        <v>107</v>
      </c>
      <c r="K85" s="81" t="s">
        <v>154</v>
      </c>
      <c r="L85" s="80">
        <v>1</v>
      </c>
      <c r="M85" s="28">
        <v>27288.1</v>
      </c>
      <c r="N85" s="28">
        <f>181.02+235.9+600.46</f>
        <v>1017.3800000000001</v>
      </c>
      <c r="O85" s="28">
        <f>7646.38+4034.94</f>
        <v>11681.32</v>
      </c>
      <c r="P85" s="28"/>
      <c r="Q85" s="28"/>
      <c r="R85" s="28">
        <f>M85+N85+O85+P85+Q85</f>
        <v>39986.8</v>
      </c>
      <c r="S85" s="29">
        <f>D85-R85</f>
        <v>11375.14</v>
      </c>
    </row>
    <row r="86" spans="1:19" ht="31.5" customHeight="1">
      <c r="A86" s="83"/>
      <c r="B86" s="83"/>
      <c r="C86" s="83"/>
      <c r="D86" s="85"/>
      <c r="E86" s="84"/>
      <c r="F86" s="86"/>
      <c r="G86" s="87"/>
      <c r="H86" s="84"/>
      <c r="I86" s="88"/>
      <c r="J86" s="88"/>
      <c r="K86" s="89"/>
      <c r="L86" s="88"/>
      <c r="M86" s="90"/>
      <c r="N86" s="90"/>
      <c r="O86" s="90"/>
      <c r="P86" s="90"/>
      <c r="Q86" s="90"/>
      <c r="R86" s="90"/>
      <c r="S86" s="29"/>
    </row>
    <row r="87" spans="1:19" s="102" customFormat="1" ht="31.5" customHeight="1">
      <c r="A87" s="92" t="s">
        <v>97</v>
      </c>
      <c r="B87" s="92">
        <v>23</v>
      </c>
      <c r="C87" s="92" t="s">
        <v>370</v>
      </c>
      <c r="D87" s="94">
        <v>47864.64</v>
      </c>
      <c r="E87" s="93"/>
      <c r="F87" s="95"/>
      <c r="G87" s="96"/>
      <c r="H87" s="162" t="s">
        <v>369</v>
      </c>
      <c r="I87" s="100"/>
      <c r="J87" s="100"/>
      <c r="K87" s="147"/>
      <c r="L87" s="100"/>
      <c r="M87" s="113"/>
      <c r="N87" s="113"/>
      <c r="O87" s="113"/>
      <c r="P87" s="113"/>
      <c r="Q87" s="113"/>
      <c r="R87" s="113"/>
      <c r="S87" s="150"/>
    </row>
    <row r="88" spans="1:19" s="15" customFormat="1" ht="31.5" customHeight="1">
      <c r="A88" s="76" t="s">
        <v>97</v>
      </c>
      <c r="B88" s="76">
        <v>23</v>
      </c>
      <c r="C88" s="76" t="s">
        <v>370</v>
      </c>
      <c r="D88" s="77">
        <v>47864.64</v>
      </c>
      <c r="E88" s="109" t="s">
        <v>155</v>
      </c>
      <c r="F88" s="34">
        <v>40687.92</v>
      </c>
      <c r="G88" s="78">
        <f>D88-F88</f>
        <v>7176.720000000001</v>
      </c>
      <c r="H88" s="79" t="s">
        <v>156</v>
      </c>
      <c r="I88" s="80" t="s">
        <v>117</v>
      </c>
      <c r="J88" s="80" t="s">
        <v>101</v>
      </c>
      <c r="K88" s="81" t="s">
        <v>149</v>
      </c>
      <c r="L88" s="80">
        <v>27</v>
      </c>
      <c r="M88" s="28">
        <f>2448.96*14</f>
        <v>34285.44</v>
      </c>
      <c r="N88" s="28">
        <f>53.45*12+9.48*14+279.7*12</f>
        <v>4130.5199999999995</v>
      </c>
      <c r="O88" s="28"/>
      <c r="P88" s="28"/>
      <c r="Q88" s="28"/>
      <c r="R88" s="28">
        <f>M88+N88+O88+P88+Q88</f>
        <v>38415.96</v>
      </c>
      <c r="S88" s="29">
        <f>D81-R88</f>
        <v>12945.980000000003</v>
      </c>
    </row>
    <row r="89" spans="1:19" s="15" customFormat="1" ht="31.5" customHeight="1">
      <c r="A89" s="83"/>
      <c r="B89" s="83"/>
      <c r="C89" s="83"/>
      <c r="D89" s="85"/>
      <c r="E89" s="84"/>
      <c r="F89" s="86"/>
      <c r="G89" s="87"/>
      <c r="H89" s="84"/>
      <c r="I89" s="88"/>
      <c r="J89" s="88"/>
      <c r="K89" s="89"/>
      <c r="L89" s="88"/>
      <c r="M89" s="90"/>
      <c r="N89" s="90"/>
      <c r="O89" s="90"/>
      <c r="P89" s="90"/>
      <c r="Q89" s="90"/>
      <c r="R89" s="90"/>
      <c r="S89" s="29"/>
    </row>
    <row r="90" spans="1:19" s="102" customFormat="1" ht="31.5" customHeight="1">
      <c r="A90" s="92" t="s">
        <v>97</v>
      </c>
      <c r="B90" s="92">
        <v>23</v>
      </c>
      <c r="C90" s="92" t="s">
        <v>371</v>
      </c>
      <c r="D90" s="94">
        <v>44734.2</v>
      </c>
      <c r="E90" s="93" t="s">
        <v>98</v>
      </c>
      <c r="F90" s="95">
        <v>40687.92</v>
      </c>
      <c r="G90" s="96">
        <f>D90-F90</f>
        <v>4046.279999999999</v>
      </c>
      <c r="H90" s="97" t="s">
        <v>372</v>
      </c>
      <c r="I90" s="170" t="s">
        <v>67</v>
      </c>
      <c r="J90" s="171" t="s">
        <v>101</v>
      </c>
      <c r="K90" s="172" t="s">
        <v>158</v>
      </c>
      <c r="L90" s="171">
        <v>1</v>
      </c>
      <c r="M90" s="173">
        <v>22580.74</v>
      </c>
      <c r="N90" s="173">
        <v>318.92</v>
      </c>
      <c r="O90" s="173">
        <v>28084.98</v>
      </c>
      <c r="P90" s="173"/>
      <c r="Q90" s="173"/>
      <c r="R90" s="174">
        <f>M90+N90+O90+P90+Q90</f>
        <v>50984.64</v>
      </c>
      <c r="S90" s="150">
        <f>D90-R90</f>
        <v>-6250.440000000002</v>
      </c>
    </row>
    <row r="91" spans="1:19" s="102" customFormat="1" ht="31.5" customHeight="1">
      <c r="A91" s="92" t="s">
        <v>97</v>
      </c>
      <c r="B91" s="92">
        <v>23</v>
      </c>
      <c r="C91" s="92" t="s">
        <v>371</v>
      </c>
      <c r="D91" s="94">
        <v>44734.2</v>
      </c>
      <c r="E91" s="93" t="s">
        <v>98</v>
      </c>
      <c r="F91" s="95">
        <v>40687.92</v>
      </c>
      <c r="G91" s="96">
        <f>D91-F91</f>
        <v>4046.279999999999</v>
      </c>
      <c r="H91" s="97" t="s">
        <v>157</v>
      </c>
      <c r="I91" s="170" t="s">
        <v>67</v>
      </c>
      <c r="J91" s="171" t="s">
        <v>101</v>
      </c>
      <c r="K91" s="172" t="s">
        <v>159</v>
      </c>
      <c r="L91" s="171">
        <v>1</v>
      </c>
      <c r="M91" s="173">
        <v>17089.66</v>
      </c>
      <c r="N91" s="173">
        <v>8082.06</v>
      </c>
      <c r="O91" s="173">
        <v>22031.8</v>
      </c>
      <c r="P91" s="173"/>
      <c r="Q91" s="173">
        <v>632.24</v>
      </c>
      <c r="R91" s="174">
        <f>M91+N91+O91+P91+Q91</f>
        <v>47835.76</v>
      </c>
      <c r="S91" s="150">
        <f>D91-R91</f>
        <v>-3101.560000000005</v>
      </c>
    </row>
    <row r="92" spans="1:19" ht="31.5" customHeight="1">
      <c r="A92" s="76" t="s">
        <v>97</v>
      </c>
      <c r="B92" s="76">
        <v>23</v>
      </c>
      <c r="C92" s="76" t="s">
        <v>371</v>
      </c>
      <c r="D92" s="77">
        <v>44734.2</v>
      </c>
      <c r="E92" s="33" t="s">
        <v>98</v>
      </c>
      <c r="F92" s="34">
        <v>40687.92</v>
      </c>
      <c r="G92" s="78">
        <f>D92-F92</f>
        <v>4046.279999999999</v>
      </c>
      <c r="H92" s="79" t="s">
        <v>157</v>
      </c>
      <c r="I92" s="103" t="s">
        <v>67</v>
      </c>
      <c r="J92" s="104" t="s">
        <v>101</v>
      </c>
      <c r="K92" s="105" t="s">
        <v>160</v>
      </c>
      <c r="L92" s="104">
        <v>1</v>
      </c>
      <c r="M92" s="106">
        <v>12779.62</v>
      </c>
      <c r="N92" s="106">
        <f>319.06+1931.86</f>
        <v>2250.92</v>
      </c>
      <c r="O92" s="106">
        <v>30421.02</v>
      </c>
      <c r="P92" s="106"/>
      <c r="Q92" s="106"/>
      <c r="R92" s="106">
        <f>M92+N92+O92+P92+Q92</f>
        <v>45451.56</v>
      </c>
      <c r="S92" s="29">
        <f>D92-R92</f>
        <v>-717.3600000000006</v>
      </c>
    </row>
    <row r="93" spans="1:19" ht="31.5" customHeight="1">
      <c r="A93" s="76" t="s">
        <v>97</v>
      </c>
      <c r="B93" s="76">
        <v>23</v>
      </c>
      <c r="C93" s="76" t="s">
        <v>371</v>
      </c>
      <c r="D93" s="77">
        <v>44734.2</v>
      </c>
      <c r="E93" s="33"/>
      <c r="F93" s="34"/>
      <c r="G93" s="78"/>
      <c r="H93" s="109" t="s">
        <v>369</v>
      </c>
      <c r="I93" s="103"/>
      <c r="J93" s="104"/>
      <c r="K93" s="105"/>
      <c r="L93" s="104"/>
      <c r="M93" s="163"/>
      <c r="N93" s="163"/>
      <c r="O93" s="163"/>
      <c r="P93" s="163"/>
      <c r="Q93" s="163"/>
      <c r="R93" s="163"/>
      <c r="S93" s="29"/>
    </row>
    <row r="94" spans="1:19" ht="31.5" customHeight="1">
      <c r="A94" s="83"/>
      <c r="B94" s="83"/>
      <c r="C94" s="83"/>
      <c r="D94" s="85"/>
      <c r="E94" s="84"/>
      <c r="F94" s="86"/>
      <c r="G94" s="87"/>
      <c r="H94" s="84"/>
      <c r="I94" s="88"/>
      <c r="J94" s="88"/>
      <c r="K94" s="89"/>
      <c r="L94" s="88"/>
      <c r="M94" s="90"/>
      <c r="N94" s="90"/>
      <c r="O94" s="90"/>
      <c r="P94" s="90"/>
      <c r="Q94" s="90"/>
      <c r="R94" s="90"/>
      <c r="S94" s="29">
        <f>D94-R94</f>
        <v>0</v>
      </c>
    </row>
    <row r="95" spans="1:19" ht="31.5" customHeight="1">
      <c r="A95" s="76" t="s">
        <v>97</v>
      </c>
      <c r="B95" s="76">
        <v>22</v>
      </c>
      <c r="C95" s="76" t="s">
        <v>373</v>
      </c>
      <c r="D95" s="77">
        <v>40687.92</v>
      </c>
      <c r="E95" s="33" t="s">
        <v>98</v>
      </c>
      <c r="F95" s="34">
        <v>40687.92</v>
      </c>
      <c r="G95" s="78">
        <f>D95-F95</f>
        <v>0</v>
      </c>
      <c r="H95" s="33" t="s">
        <v>161</v>
      </c>
      <c r="I95" s="80" t="s">
        <v>104</v>
      </c>
      <c r="J95" s="80" t="s">
        <v>101</v>
      </c>
      <c r="K95" s="81" t="s">
        <v>162</v>
      </c>
      <c r="L95" s="80">
        <v>2</v>
      </c>
      <c r="M95" s="28">
        <v>27288.1</v>
      </c>
      <c r="N95" s="28">
        <f>181.02+235.9+600.46+385.28+405.72</f>
        <v>1808.38</v>
      </c>
      <c r="O95" s="28">
        <f>7646.38+3824.24</f>
        <v>11470.619999999999</v>
      </c>
      <c r="P95" s="28"/>
      <c r="Q95" s="28"/>
      <c r="R95" s="28">
        <f>M95+N95+O95+P95+Q95</f>
        <v>40567.1</v>
      </c>
      <c r="S95" s="29">
        <f>D95-R95</f>
        <v>120.81999999999971</v>
      </c>
    </row>
    <row r="96" spans="1:19" ht="31.5" customHeight="1">
      <c r="A96" s="76" t="s">
        <v>97</v>
      </c>
      <c r="B96" s="76">
        <v>22</v>
      </c>
      <c r="C96" s="76" t="s">
        <v>373</v>
      </c>
      <c r="D96" s="77">
        <v>40687.92</v>
      </c>
      <c r="E96" s="33" t="s">
        <v>98</v>
      </c>
      <c r="F96" s="34">
        <v>40687.92</v>
      </c>
      <c r="G96" s="78">
        <f>D96-F96</f>
        <v>0</v>
      </c>
      <c r="H96" s="33" t="s">
        <v>161</v>
      </c>
      <c r="I96" s="103" t="s">
        <v>67</v>
      </c>
      <c r="J96" s="104" t="s">
        <v>101</v>
      </c>
      <c r="K96" s="105" t="s">
        <v>163</v>
      </c>
      <c r="L96" s="104">
        <v>1</v>
      </c>
      <c r="M96" s="106">
        <v>39269.72</v>
      </c>
      <c r="N96" s="106"/>
      <c r="O96" s="106"/>
      <c r="P96" s="106"/>
      <c r="Q96" s="106"/>
      <c r="R96" s="28">
        <f>M96+N96+O96+P96+Q96</f>
        <v>39269.72</v>
      </c>
      <c r="S96" s="29">
        <f>D96-R96</f>
        <v>1418.199999999997</v>
      </c>
    </row>
    <row r="97" spans="1:19" ht="31.5" customHeight="1">
      <c r="A97" s="83"/>
      <c r="B97" s="83"/>
      <c r="C97" s="83"/>
      <c r="D97" s="85"/>
      <c r="E97" s="84"/>
      <c r="F97" s="86"/>
      <c r="G97" s="87"/>
      <c r="H97" s="84"/>
      <c r="I97" s="88"/>
      <c r="J97" s="88"/>
      <c r="K97" s="89"/>
      <c r="L97" s="88"/>
      <c r="M97" s="90"/>
      <c r="N97" s="90"/>
      <c r="O97" s="90"/>
      <c r="P97" s="90"/>
      <c r="Q97" s="90"/>
      <c r="R97" s="90"/>
      <c r="S97" s="29"/>
    </row>
    <row r="98" spans="1:19" ht="31.5" customHeight="1">
      <c r="A98" s="92" t="s">
        <v>97</v>
      </c>
      <c r="B98" s="92">
        <v>22</v>
      </c>
      <c r="C98" s="92" t="s">
        <v>373</v>
      </c>
      <c r="D98" s="94">
        <v>40687.92</v>
      </c>
      <c r="E98" s="93" t="s">
        <v>106</v>
      </c>
      <c r="F98" s="95">
        <v>40687.92</v>
      </c>
      <c r="G98" s="96">
        <f>D98-F98</f>
        <v>0</v>
      </c>
      <c r="H98" s="93" t="s">
        <v>106</v>
      </c>
      <c r="I98" s="100" t="s">
        <v>100</v>
      </c>
      <c r="J98" s="100" t="s">
        <v>107</v>
      </c>
      <c r="K98" s="114" t="s">
        <v>164</v>
      </c>
      <c r="L98" s="100">
        <v>12</v>
      </c>
      <c r="M98" s="101">
        <v>40740</v>
      </c>
      <c r="N98" s="101">
        <v>385.42</v>
      </c>
      <c r="O98" s="101"/>
      <c r="P98" s="101"/>
      <c r="Q98" s="101">
        <v>321.36</v>
      </c>
      <c r="R98" s="101">
        <f>M98+N98+O98+P98+Q98</f>
        <v>41446.78</v>
      </c>
      <c r="S98" s="150">
        <f>D98-R98</f>
        <v>-758.8600000000006</v>
      </c>
    </row>
    <row r="99" spans="1:19" ht="31.5" customHeight="1">
      <c r="A99" s="92" t="s">
        <v>97</v>
      </c>
      <c r="B99" s="92">
        <v>22</v>
      </c>
      <c r="C99" s="92" t="s">
        <v>373</v>
      </c>
      <c r="D99" s="94">
        <v>40687.92</v>
      </c>
      <c r="E99" s="93" t="s">
        <v>106</v>
      </c>
      <c r="F99" s="95">
        <v>40687.92</v>
      </c>
      <c r="G99" s="96">
        <f>D99-F99</f>
        <v>0</v>
      </c>
      <c r="H99" s="93" t="s">
        <v>106</v>
      </c>
      <c r="I99" s="100" t="s">
        <v>100</v>
      </c>
      <c r="J99" s="100" t="s">
        <v>107</v>
      </c>
      <c r="K99" s="114" t="s">
        <v>165</v>
      </c>
      <c r="L99" s="100">
        <v>12</v>
      </c>
      <c r="M99" s="113">
        <v>40740</v>
      </c>
      <c r="N99" s="113">
        <v>385.42</v>
      </c>
      <c r="O99" s="113"/>
      <c r="P99" s="113"/>
      <c r="Q99" s="113">
        <v>321.36</v>
      </c>
      <c r="R99" s="113">
        <f>M99+N99+O99+P99+Q99</f>
        <v>41446.78</v>
      </c>
      <c r="S99" s="150">
        <f>D99-R99</f>
        <v>-758.8600000000006</v>
      </c>
    </row>
    <row r="100" spans="1:19" ht="31.5" customHeight="1">
      <c r="A100" s="83"/>
      <c r="B100" s="83"/>
      <c r="C100" s="83"/>
      <c r="D100" s="85"/>
      <c r="E100" s="84"/>
      <c r="F100" s="86"/>
      <c r="G100" s="87"/>
      <c r="H100" s="84"/>
      <c r="I100" s="88"/>
      <c r="J100" s="88"/>
      <c r="K100" s="89"/>
      <c r="L100" s="88"/>
      <c r="M100" s="90"/>
      <c r="N100" s="90"/>
      <c r="O100" s="90"/>
      <c r="P100" s="90"/>
      <c r="Q100" s="90"/>
      <c r="R100" s="90"/>
      <c r="S100" s="29"/>
    </row>
    <row r="101" spans="1:19" ht="31.5" customHeight="1">
      <c r="A101" s="76" t="s">
        <v>97</v>
      </c>
      <c r="B101" s="76">
        <v>22</v>
      </c>
      <c r="C101" s="76" t="s">
        <v>373</v>
      </c>
      <c r="D101" s="77">
        <v>40687.92</v>
      </c>
      <c r="E101" s="33" t="s">
        <v>166</v>
      </c>
      <c r="F101" s="34">
        <v>40687.92</v>
      </c>
      <c r="G101" s="78">
        <f aca="true" t="shared" si="7" ref="G101:G106">D101-F101</f>
        <v>0</v>
      </c>
      <c r="H101" s="33" t="s">
        <v>166</v>
      </c>
      <c r="I101" s="80" t="s">
        <v>117</v>
      </c>
      <c r="J101" s="80" t="s">
        <v>167</v>
      </c>
      <c r="K101" s="81" t="s">
        <v>168</v>
      </c>
      <c r="L101" s="80">
        <v>94</v>
      </c>
      <c r="M101" s="28">
        <f>1910.31*14</f>
        <v>26744.34</v>
      </c>
      <c r="N101" s="28">
        <f>53.45*12+49.88*14+520.1*12</f>
        <v>7580.920000000001</v>
      </c>
      <c r="O101" s="28">
        <f>443.11*14</f>
        <v>6203.54</v>
      </c>
      <c r="P101" s="28"/>
      <c r="Q101" s="28"/>
      <c r="R101" s="28">
        <f aca="true" t="shared" si="8" ref="R101:R106">M101+N101+O101+P101+Q101</f>
        <v>40528.8</v>
      </c>
      <c r="S101" s="29">
        <f aca="true" t="shared" si="9" ref="S101:S106">D101-R101</f>
        <v>159.11999999999534</v>
      </c>
    </row>
    <row r="102" spans="1:19" ht="31.5" customHeight="1">
      <c r="A102" s="76" t="s">
        <v>97</v>
      </c>
      <c r="B102" s="76">
        <v>22</v>
      </c>
      <c r="C102" s="76" t="s">
        <v>373</v>
      </c>
      <c r="D102" s="77">
        <v>40687.92</v>
      </c>
      <c r="E102" s="33" t="s">
        <v>122</v>
      </c>
      <c r="F102" s="34">
        <v>40687.92</v>
      </c>
      <c r="G102" s="78">
        <f t="shared" si="7"/>
        <v>0</v>
      </c>
      <c r="H102" s="33" t="s">
        <v>122</v>
      </c>
      <c r="I102" s="80" t="s">
        <v>117</v>
      </c>
      <c r="J102" s="80" t="s">
        <v>169</v>
      </c>
      <c r="K102" s="81" t="s">
        <v>170</v>
      </c>
      <c r="L102" s="80">
        <f>26+18.24</f>
        <v>44.239999999999995</v>
      </c>
      <c r="M102" s="28">
        <f>1910.31*14</f>
        <v>26744.34</v>
      </c>
      <c r="N102" s="28">
        <f>53.45*12+49.88*14+520.1*12</f>
        <v>7580.920000000001</v>
      </c>
      <c r="O102" s="28">
        <f>443.11*14</f>
        <v>6203.54</v>
      </c>
      <c r="P102" s="28"/>
      <c r="Q102" s="28"/>
      <c r="R102" s="28">
        <f t="shared" si="8"/>
        <v>40528.8</v>
      </c>
      <c r="S102" s="29">
        <f t="shared" si="9"/>
        <v>159.11999999999534</v>
      </c>
    </row>
    <row r="103" spans="1:19" ht="31.5" customHeight="1">
      <c r="A103" s="76" t="s">
        <v>97</v>
      </c>
      <c r="B103" s="76">
        <v>22</v>
      </c>
      <c r="C103" s="76" t="s">
        <v>373</v>
      </c>
      <c r="D103" s="77">
        <v>40687.92</v>
      </c>
      <c r="E103" s="33" t="s">
        <v>122</v>
      </c>
      <c r="F103" s="34">
        <v>40687.92</v>
      </c>
      <c r="G103" s="78">
        <f t="shared" si="7"/>
        <v>0</v>
      </c>
      <c r="H103" s="33" t="s">
        <v>122</v>
      </c>
      <c r="I103" s="80" t="s">
        <v>117</v>
      </c>
      <c r="J103" s="80" t="s">
        <v>123</v>
      </c>
      <c r="K103" s="81" t="s">
        <v>171</v>
      </c>
      <c r="L103" s="80">
        <v>3</v>
      </c>
      <c r="M103" s="28">
        <f>1910.31*14</f>
        <v>26744.34</v>
      </c>
      <c r="N103" s="28">
        <f>53.45*12+49.88*14+520.1*12</f>
        <v>7580.920000000001</v>
      </c>
      <c r="O103" s="28">
        <f>443.11*14</f>
        <v>6203.54</v>
      </c>
      <c r="P103" s="28"/>
      <c r="Q103" s="28"/>
      <c r="R103" s="28">
        <f t="shared" si="8"/>
        <v>40528.8</v>
      </c>
      <c r="S103" s="29">
        <f t="shared" si="9"/>
        <v>159.11999999999534</v>
      </c>
    </row>
    <row r="104" spans="1:19" ht="31.5" customHeight="1">
      <c r="A104" s="76" t="s">
        <v>97</v>
      </c>
      <c r="B104" s="76">
        <v>22</v>
      </c>
      <c r="C104" s="76" t="s">
        <v>373</v>
      </c>
      <c r="D104" s="77">
        <v>40687.92</v>
      </c>
      <c r="E104" s="33" t="s">
        <v>122</v>
      </c>
      <c r="F104" s="34">
        <v>40687.92</v>
      </c>
      <c r="G104" s="78">
        <f t="shared" si="7"/>
        <v>0</v>
      </c>
      <c r="H104" s="33" t="s">
        <v>122</v>
      </c>
      <c r="I104" s="80" t="s">
        <v>117</v>
      </c>
      <c r="J104" s="80" t="s">
        <v>123</v>
      </c>
      <c r="K104" s="81" t="s">
        <v>172</v>
      </c>
      <c r="L104" s="80">
        <v>12</v>
      </c>
      <c r="M104" s="28">
        <f>1910.31*14</f>
        <v>26744.34</v>
      </c>
      <c r="N104" s="28">
        <f>53.45*12+49.88*14+762.64*12+270.92*12</f>
        <v>13742.440000000002</v>
      </c>
      <c r="O104" s="28"/>
      <c r="P104" s="28"/>
      <c r="Q104" s="28"/>
      <c r="R104" s="28">
        <f t="shared" si="8"/>
        <v>40486.78</v>
      </c>
      <c r="S104" s="29">
        <f t="shared" si="9"/>
        <v>201.13999999999942</v>
      </c>
    </row>
    <row r="105" spans="1:19" ht="31.5" customHeight="1">
      <c r="A105" s="76" t="s">
        <v>97</v>
      </c>
      <c r="B105" s="76">
        <v>22</v>
      </c>
      <c r="C105" s="76" t="s">
        <v>373</v>
      </c>
      <c r="D105" s="77">
        <v>40687.92</v>
      </c>
      <c r="E105" s="33" t="s">
        <v>122</v>
      </c>
      <c r="F105" s="34">
        <v>40687.92</v>
      </c>
      <c r="G105" s="78">
        <f t="shared" si="7"/>
        <v>0</v>
      </c>
      <c r="H105" s="33" t="s">
        <v>122</v>
      </c>
      <c r="I105" s="103" t="s">
        <v>67</v>
      </c>
      <c r="J105" s="104" t="s">
        <v>123</v>
      </c>
      <c r="K105" s="105" t="s">
        <v>173</v>
      </c>
      <c r="L105" s="104">
        <v>1</v>
      </c>
      <c r="M105" s="106">
        <v>14620.34</v>
      </c>
      <c r="N105" s="106">
        <v>2861.18</v>
      </c>
      <c r="O105" s="106">
        <v>23458.96</v>
      </c>
      <c r="P105" s="106"/>
      <c r="Q105" s="106"/>
      <c r="R105" s="28">
        <f t="shared" si="8"/>
        <v>40940.479999999996</v>
      </c>
      <c r="S105" s="29">
        <f t="shared" si="9"/>
        <v>-252.55999999999767</v>
      </c>
    </row>
    <row r="106" spans="1:19" ht="31.5" customHeight="1">
      <c r="A106" s="76" t="s">
        <v>97</v>
      </c>
      <c r="B106" s="76">
        <v>22</v>
      </c>
      <c r="C106" s="76" t="s">
        <v>373</v>
      </c>
      <c r="D106" s="77">
        <v>40687.92</v>
      </c>
      <c r="E106" s="33" t="s">
        <v>122</v>
      </c>
      <c r="F106" s="34">
        <v>40687.92</v>
      </c>
      <c r="G106" s="78">
        <f t="shared" si="7"/>
        <v>0</v>
      </c>
      <c r="H106" s="33" t="s">
        <v>122</v>
      </c>
      <c r="I106" s="103" t="s">
        <v>67</v>
      </c>
      <c r="J106" s="104" t="s">
        <v>123</v>
      </c>
      <c r="K106" s="105" t="s">
        <v>163</v>
      </c>
      <c r="L106" s="104">
        <v>1</v>
      </c>
      <c r="M106" s="106">
        <v>28962.64</v>
      </c>
      <c r="N106" s="106"/>
      <c r="O106" s="106"/>
      <c r="P106" s="106"/>
      <c r="Q106" s="106"/>
      <c r="R106" s="28">
        <f t="shared" si="8"/>
        <v>28962.64</v>
      </c>
      <c r="S106" s="29">
        <f t="shared" si="9"/>
        <v>11725.279999999999</v>
      </c>
    </row>
    <row r="107" spans="1:19" ht="31.5" customHeight="1">
      <c r="A107" s="83"/>
      <c r="B107" s="83"/>
      <c r="C107" s="83"/>
      <c r="D107" s="85"/>
      <c r="E107" s="84"/>
      <c r="F107" s="86"/>
      <c r="G107" s="87"/>
      <c r="H107" s="84"/>
      <c r="I107" s="88"/>
      <c r="J107" s="88"/>
      <c r="K107" s="89"/>
      <c r="L107" s="88"/>
      <c r="M107" s="90"/>
      <c r="N107" s="90"/>
      <c r="O107" s="90"/>
      <c r="P107" s="90"/>
      <c r="Q107" s="90"/>
      <c r="R107" s="90"/>
      <c r="S107" s="29"/>
    </row>
    <row r="108" spans="1:19" ht="31.5" customHeight="1">
      <c r="A108" s="110"/>
      <c r="B108" s="110"/>
      <c r="C108" s="76"/>
      <c r="D108" s="34"/>
      <c r="E108" s="33"/>
      <c r="F108" s="34"/>
      <c r="G108" s="78"/>
      <c r="H108" s="34"/>
      <c r="I108" s="9"/>
      <c r="J108" s="9"/>
      <c r="K108" s="9"/>
      <c r="L108" s="10"/>
      <c r="M108" s="9"/>
      <c r="N108" s="9"/>
      <c r="O108" s="9"/>
      <c r="P108" s="9"/>
      <c r="Q108" s="9" t="s">
        <v>16</v>
      </c>
      <c r="R108" s="9" t="s">
        <v>174</v>
      </c>
      <c r="S108" s="29"/>
    </row>
    <row r="109" spans="1:19" ht="31.5" customHeight="1">
      <c r="A109" s="110"/>
      <c r="B109" s="110"/>
      <c r="C109" s="110"/>
      <c r="D109" s="34"/>
      <c r="E109" s="33"/>
      <c r="F109" s="34"/>
      <c r="G109" s="78"/>
      <c r="H109" s="34"/>
      <c r="I109" s="35"/>
      <c r="J109" s="36"/>
      <c r="K109" s="36"/>
      <c r="L109" s="10"/>
      <c r="M109" s="9"/>
      <c r="N109" s="9"/>
      <c r="O109" s="9"/>
      <c r="P109" s="9"/>
      <c r="Q109" s="9"/>
      <c r="R109" s="9"/>
      <c r="S109" s="29"/>
    </row>
    <row r="110" spans="1:19" ht="31.5" customHeight="1">
      <c r="A110" s="110"/>
      <c r="B110" s="110"/>
      <c r="C110" s="110"/>
      <c r="D110" s="34"/>
      <c r="E110" s="33"/>
      <c r="F110" s="34"/>
      <c r="G110" s="34"/>
      <c r="H110" s="34"/>
      <c r="I110" s="35"/>
      <c r="J110" s="36"/>
      <c r="K110" s="36"/>
      <c r="L110" s="10"/>
      <c r="M110" s="9"/>
      <c r="N110" s="9"/>
      <c r="O110" s="9"/>
      <c r="P110" s="9"/>
      <c r="Q110" s="9"/>
      <c r="R110" s="9"/>
      <c r="S110" s="29"/>
    </row>
    <row r="111" spans="1:19" ht="31.5" customHeight="1">
      <c r="A111" s="16"/>
      <c r="B111" s="16"/>
      <c r="C111" s="2"/>
      <c r="D111" s="1" t="s">
        <v>93</v>
      </c>
      <c r="E111" s="71"/>
      <c r="F111" s="72"/>
      <c r="G111" s="72"/>
      <c r="H111" s="16"/>
      <c r="I111" s="8"/>
      <c r="J111" s="22"/>
      <c r="M111" s="73" t="s">
        <v>94</v>
      </c>
      <c r="R111" s="73" t="s">
        <v>95</v>
      </c>
      <c r="S111" s="29"/>
    </row>
    <row r="112" spans="1:19" ht="31.5" customHeight="1">
      <c r="A112" s="110"/>
      <c r="B112" s="110"/>
      <c r="C112" s="110" t="s">
        <v>363</v>
      </c>
      <c r="D112" s="34" t="s">
        <v>77</v>
      </c>
      <c r="E112" s="70" t="s">
        <v>175</v>
      </c>
      <c r="F112" s="34" t="s">
        <v>78</v>
      </c>
      <c r="G112" s="34" t="s">
        <v>79</v>
      </c>
      <c r="H112" s="34" t="s">
        <v>80</v>
      </c>
      <c r="I112" s="35"/>
      <c r="J112" s="36"/>
      <c r="K112" s="36"/>
      <c r="L112" s="10"/>
      <c r="M112" s="9"/>
      <c r="N112" s="9"/>
      <c r="O112" s="9"/>
      <c r="P112" s="9"/>
      <c r="Q112" s="9"/>
      <c r="R112" s="9"/>
      <c r="S112" s="29"/>
    </row>
    <row r="113" spans="1:19" ht="31.5" customHeight="1">
      <c r="A113" s="16"/>
      <c r="B113" s="16"/>
      <c r="C113" s="2" t="s">
        <v>364</v>
      </c>
      <c r="D113" s="1" t="s">
        <v>16</v>
      </c>
      <c r="E113" s="71" t="s">
        <v>81</v>
      </c>
      <c r="F113" s="72" t="s">
        <v>82</v>
      </c>
      <c r="G113" s="72" t="s">
        <v>83</v>
      </c>
      <c r="H113" s="16"/>
      <c r="I113" s="8"/>
      <c r="J113" s="9"/>
      <c r="K113" s="9"/>
      <c r="L113" s="10"/>
      <c r="M113" s="9"/>
      <c r="N113" s="9"/>
      <c r="O113" s="9"/>
      <c r="P113" s="9"/>
      <c r="Q113" s="9"/>
      <c r="R113" s="9"/>
      <c r="S113" s="29"/>
    </row>
    <row r="114" spans="1:19" s="102" customFormat="1" ht="60.75" customHeight="1">
      <c r="A114" s="92" t="s">
        <v>176</v>
      </c>
      <c r="B114" s="92">
        <v>26</v>
      </c>
      <c r="C114" s="92" t="s">
        <v>374</v>
      </c>
      <c r="D114" s="94">
        <v>50996.82</v>
      </c>
      <c r="E114" s="93" t="s">
        <v>177</v>
      </c>
      <c r="F114" s="95">
        <v>34174.56</v>
      </c>
      <c r="G114" s="96">
        <f>D114-F114</f>
        <v>16822.260000000002</v>
      </c>
      <c r="H114" s="97" t="s">
        <v>178</v>
      </c>
      <c r="I114" s="111" t="s">
        <v>114</v>
      </c>
      <c r="J114" s="111" t="s">
        <v>179</v>
      </c>
      <c r="K114" s="112" t="s">
        <v>180</v>
      </c>
      <c r="L114" s="111">
        <v>1</v>
      </c>
      <c r="M114" s="113">
        <f>2465.93*14</f>
        <v>34523.02</v>
      </c>
      <c r="N114" s="113">
        <f>(464.21*14)+(103.5*12)</f>
        <v>7740.94</v>
      </c>
      <c r="O114" s="113"/>
      <c r="P114" s="113"/>
      <c r="Q114" s="113"/>
      <c r="R114" s="101">
        <f>SUM(M114:Q114)</f>
        <v>42263.96</v>
      </c>
      <c r="S114" s="29">
        <f>D114-R114</f>
        <v>8732.86</v>
      </c>
    </row>
    <row r="115" spans="1:19" s="102" customFormat="1" ht="69" customHeight="1">
      <c r="A115" s="92" t="s">
        <v>176</v>
      </c>
      <c r="B115" s="92">
        <v>26</v>
      </c>
      <c r="C115" s="92" t="s">
        <v>374</v>
      </c>
      <c r="D115" s="94">
        <v>50996.82</v>
      </c>
      <c r="E115" s="93" t="s">
        <v>177</v>
      </c>
      <c r="F115" s="95">
        <v>34174.56</v>
      </c>
      <c r="G115" s="96">
        <f>D115-F115</f>
        <v>16822.260000000002</v>
      </c>
      <c r="H115" s="97" t="s">
        <v>178</v>
      </c>
      <c r="I115" s="111" t="s">
        <v>114</v>
      </c>
      <c r="J115" s="111" t="s">
        <v>179</v>
      </c>
      <c r="K115" s="114" t="s">
        <v>181</v>
      </c>
      <c r="L115" s="100">
        <v>2</v>
      </c>
      <c r="M115" s="101">
        <f>2465.93*14</f>
        <v>34523.02</v>
      </c>
      <c r="N115" s="101">
        <f>12*(307.93+103.5)</f>
        <v>4937.16</v>
      </c>
      <c r="O115" s="101"/>
      <c r="P115" s="101"/>
      <c r="Q115" s="101"/>
      <c r="R115" s="101">
        <f>SUM(M115:Q115)</f>
        <v>39460.17999999999</v>
      </c>
      <c r="S115" s="29">
        <f>D115-R115</f>
        <v>11536.640000000007</v>
      </c>
    </row>
    <row r="116" spans="1:19" s="102" customFormat="1" ht="31.5" customHeight="1">
      <c r="A116" s="83"/>
      <c r="B116" s="83"/>
      <c r="C116" s="85"/>
      <c r="D116" s="84"/>
      <c r="E116" s="86"/>
      <c r="F116" s="87"/>
      <c r="G116" s="84"/>
      <c r="H116" s="88"/>
      <c r="I116" s="88"/>
      <c r="J116" s="89"/>
      <c r="K116" s="88"/>
      <c r="L116" s="90"/>
      <c r="M116" s="90"/>
      <c r="N116" s="90"/>
      <c r="O116" s="90"/>
      <c r="P116" s="90"/>
      <c r="Q116" s="90"/>
      <c r="R116" s="91"/>
      <c r="S116" s="29"/>
    </row>
    <row r="117" spans="1:19" s="102" customFormat="1" ht="31.5" customHeight="1">
      <c r="A117" s="92" t="s">
        <v>176</v>
      </c>
      <c r="B117" s="92">
        <v>24</v>
      </c>
      <c r="C117" s="92" t="s">
        <v>368</v>
      </c>
      <c r="D117" s="94">
        <v>48909.42</v>
      </c>
      <c r="E117" s="93" t="s">
        <v>177</v>
      </c>
      <c r="F117" s="95">
        <v>34174.56</v>
      </c>
      <c r="G117" s="96">
        <f>D117-F117</f>
        <v>14734.86</v>
      </c>
      <c r="H117" s="97" t="s">
        <v>182</v>
      </c>
      <c r="I117" s="100" t="s">
        <v>114</v>
      </c>
      <c r="J117" s="100" t="s">
        <v>179</v>
      </c>
      <c r="K117" s="114" t="s">
        <v>181</v>
      </c>
      <c r="L117" s="100">
        <v>1</v>
      </c>
      <c r="M117" s="101">
        <f>2465.93*14</f>
        <v>34523.02</v>
      </c>
      <c r="N117" s="101">
        <f>12*(307.93+103.5)</f>
        <v>4937.16</v>
      </c>
      <c r="O117" s="101"/>
      <c r="P117" s="101"/>
      <c r="Q117" s="101"/>
      <c r="R117" s="101">
        <f>SUM(M117:Q117)</f>
        <v>39460.17999999999</v>
      </c>
      <c r="S117" s="29">
        <f>D117-R117</f>
        <v>9449.240000000005</v>
      </c>
    </row>
    <row r="118" spans="1:19" ht="31.5" customHeight="1">
      <c r="A118" s="115" t="s">
        <v>176</v>
      </c>
      <c r="B118" s="76">
        <v>24</v>
      </c>
      <c r="C118" s="115" t="s">
        <v>368</v>
      </c>
      <c r="D118" s="117">
        <v>48909.42</v>
      </c>
      <c r="E118" s="116" t="s">
        <v>177</v>
      </c>
      <c r="F118" s="118">
        <v>34174.56</v>
      </c>
      <c r="G118" s="78">
        <f>D118-F118</f>
        <v>14734.86</v>
      </c>
      <c r="H118" s="97" t="s">
        <v>182</v>
      </c>
      <c r="I118" s="80" t="s">
        <v>100</v>
      </c>
      <c r="J118" s="80" t="s">
        <v>179</v>
      </c>
      <c r="K118" s="81" t="s">
        <v>185</v>
      </c>
      <c r="L118" s="80">
        <v>6</v>
      </c>
      <c r="M118" s="28">
        <v>36231.3</v>
      </c>
      <c r="N118" s="28">
        <v>434.42</v>
      </c>
      <c r="O118" s="28"/>
      <c r="P118" s="28"/>
      <c r="Q118" s="28">
        <v>321.36</v>
      </c>
      <c r="R118" s="28">
        <f>M118+N118+O118+P118+Q118</f>
        <v>36987.08</v>
      </c>
      <c r="S118" s="29">
        <f>D118-R118</f>
        <v>11922.339999999997</v>
      </c>
    </row>
    <row r="119" spans="1:19" ht="31.5" customHeight="1">
      <c r="A119" s="83"/>
      <c r="B119" s="83"/>
      <c r="C119" s="85"/>
      <c r="D119" s="84"/>
      <c r="E119" s="86"/>
      <c r="F119" s="87"/>
      <c r="G119" s="84"/>
      <c r="H119" s="88"/>
      <c r="I119" s="88"/>
      <c r="J119" s="89"/>
      <c r="K119" s="88"/>
      <c r="L119" s="90"/>
      <c r="M119" s="90"/>
      <c r="N119" s="90"/>
      <c r="O119" s="90"/>
      <c r="P119" s="90"/>
      <c r="Q119" s="90"/>
      <c r="R119" s="91"/>
      <c r="S119" s="29"/>
    </row>
    <row r="120" spans="1:19" s="102" customFormat="1" ht="31.5" customHeight="1">
      <c r="A120" s="92" t="s">
        <v>176</v>
      </c>
      <c r="B120" s="92">
        <v>23</v>
      </c>
      <c r="C120" s="92" t="s">
        <v>371</v>
      </c>
      <c r="D120" s="94">
        <v>42281.68</v>
      </c>
      <c r="E120" s="93" t="s">
        <v>177</v>
      </c>
      <c r="F120" s="95">
        <v>34174.56</v>
      </c>
      <c r="G120" s="96">
        <f aca="true" t="shared" si="10" ref="G120:G126">D120-F120</f>
        <v>8107.120000000003</v>
      </c>
      <c r="H120" s="97" t="s">
        <v>186</v>
      </c>
      <c r="I120" s="100" t="s">
        <v>114</v>
      </c>
      <c r="J120" s="100" t="s">
        <v>179</v>
      </c>
      <c r="K120" s="114" t="s">
        <v>181</v>
      </c>
      <c r="L120" s="100">
        <v>2</v>
      </c>
      <c r="M120" s="101">
        <f>2465.93*14</f>
        <v>34523.02</v>
      </c>
      <c r="N120" s="101">
        <f>12*(307.93+103.5)</f>
        <v>4937.16</v>
      </c>
      <c r="O120" s="101"/>
      <c r="P120" s="101"/>
      <c r="Q120" s="101"/>
      <c r="R120" s="101">
        <f>SUM(M120:Q120)</f>
        <v>39460.17999999999</v>
      </c>
      <c r="S120" s="29">
        <f aca="true" t="shared" si="11" ref="S120:S126">D120-R120</f>
        <v>2821.5000000000073</v>
      </c>
    </row>
    <row r="121" spans="1:19" ht="31.5" customHeight="1">
      <c r="A121" s="115" t="s">
        <v>176</v>
      </c>
      <c r="B121" s="76">
        <v>23</v>
      </c>
      <c r="C121" s="115" t="s">
        <v>371</v>
      </c>
      <c r="D121" s="117">
        <v>42281.68</v>
      </c>
      <c r="E121" s="116" t="s">
        <v>177</v>
      </c>
      <c r="F121" s="118">
        <v>34174.56</v>
      </c>
      <c r="G121" s="78">
        <f t="shared" si="10"/>
        <v>8107.120000000003</v>
      </c>
      <c r="H121" s="97" t="s">
        <v>186</v>
      </c>
      <c r="I121" s="80" t="s">
        <v>117</v>
      </c>
      <c r="J121" s="80" t="s">
        <v>179</v>
      </c>
      <c r="K121" s="81" t="s">
        <v>187</v>
      </c>
      <c r="L121" s="80">
        <v>3</v>
      </c>
      <c r="M121" s="28">
        <f>2439.09*14</f>
        <v>34147.26</v>
      </c>
      <c r="N121" s="28">
        <f>53.45*12+22.79*14+279.7*12</f>
        <v>4316.86</v>
      </c>
      <c r="O121" s="28"/>
      <c r="P121" s="28"/>
      <c r="Q121" s="28"/>
      <c r="R121" s="28">
        <f>M121+N121+O121+P121+Q121</f>
        <v>38464.12</v>
      </c>
      <c r="S121" s="29">
        <f t="shared" si="11"/>
        <v>3817.5599999999977</v>
      </c>
    </row>
    <row r="122" spans="1:19" s="102" customFormat="1" ht="31.5" customHeight="1">
      <c r="A122" s="92" t="s">
        <v>176</v>
      </c>
      <c r="B122" s="92">
        <v>23</v>
      </c>
      <c r="C122" s="92" t="s">
        <v>371</v>
      </c>
      <c r="D122" s="94">
        <v>42281.68</v>
      </c>
      <c r="E122" s="93" t="s">
        <v>177</v>
      </c>
      <c r="F122" s="95">
        <v>34174.56</v>
      </c>
      <c r="G122" s="96">
        <f t="shared" si="10"/>
        <v>8107.120000000003</v>
      </c>
      <c r="H122" s="97" t="s">
        <v>186</v>
      </c>
      <c r="I122" s="100" t="s">
        <v>114</v>
      </c>
      <c r="J122" s="100" t="s">
        <v>179</v>
      </c>
      <c r="K122" s="114" t="s">
        <v>183</v>
      </c>
      <c r="L122" s="100">
        <v>2</v>
      </c>
      <c r="M122" s="101">
        <f>1903.53*14</f>
        <v>26649.42</v>
      </c>
      <c r="N122" s="101">
        <f>(255.09*14)+12*(132.65+41.13+43.3+103.5)</f>
        <v>7418.22</v>
      </c>
      <c r="O122" s="101"/>
      <c r="P122" s="101"/>
      <c r="Q122" s="101"/>
      <c r="R122" s="101">
        <f>SUM(M122:Q122)</f>
        <v>34067.64</v>
      </c>
      <c r="S122" s="29">
        <f t="shared" si="11"/>
        <v>8214.04</v>
      </c>
    </row>
    <row r="123" spans="1:19" s="102" customFormat="1" ht="31.5" customHeight="1">
      <c r="A123" s="92" t="s">
        <v>176</v>
      </c>
      <c r="B123" s="92">
        <v>23</v>
      </c>
      <c r="C123" s="92" t="s">
        <v>371</v>
      </c>
      <c r="D123" s="94">
        <v>42281.68</v>
      </c>
      <c r="E123" s="93" t="s">
        <v>177</v>
      </c>
      <c r="F123" s="95">
        <v>34174.56</v>
      </c>
      <c r="G123" s="96">
        <f t="shared" si="10"/>
        <v>8107.120000000003</v>
      </c>
      <c r="H123" s="97" t="s">
        <v>186</v>
      </c>
      <c r="I123" s="100" t="s">
        <v>114</v>
      </c>
      <c r="J123" s="100" t="s">
        <v>179</v>
      </c>
      <c r="K123" s="114" t="s">
        <v>184</v>
      </c>
      <c r="L123" s="100">
        <v>6</v>
      </c>
      <c r="M123" s="101">
        <f>1903.53*14</f>
        <v>26649.42</v>
      </c>
      <c r="N123" s="101">
        <f>12*(211.26+146.82+154.59+103.5)</f>
        <v>7394.039999999999</v>
      </c>
      <c r="O123" s="101"/>
      <c r="P123" s="101"/>
      <c r="Q123" s="101"/>
      <c r="R123" s="101">
        <f>SUM(M123:Q123)</f>
        <v>34043.46</v>
      </c>
      <c r="S123" s="29">
        <f t="shared" si="11"/>
        <v>8238.220000000001</v>
      </c>
    </row>
    <row r="124" spans="1:19" ht="31.5" customHeight="1">
      <c r="A124" s="115" t="s">
        <v>176</v>
      </c>
      <c r="B124" s="76">
        <v>23</v>
      </c>
      <c r="C124" s="115" t="s">
        <v>371</v>
      </c>
      <c r="D124" s="117">
        <v>42281.68</v>
      </c>
      <c r="E124" s="116" t="s">
        <v>177</v>
      </c>
      <c r="F124" s="118">
        <v>34174.56</v>
      </c>
      <c r="G124" s="78">
        <f t="shared" si="10"/>
        <v>8107.120000000003</v>
      </c>
      <c r="H124" s="97" t="s">
        <v>186</v>
      </c>
      <c r="I124" s="80" t="s">
        <v>117</v>
      </c>
      <c r="J124" s="80" t="s">
        <v>179</v>
      </c>
      <c r="K124" s="81" t="s">
        <v>188</v>
      </c>
      <c r="L124" s="80">
        <v>7</v>
      </c>
      <c r="M124" s="28">
        <f>2365.09*14</f>
        <v>33111.26</v>
      </c>
      <c r="N124" s="28">
        <f>53.45*12+22.79*14+279.7*12</f>
        <v>4316.86</v>
      </c>
      <c r="O124" s="28"/>
      <c r="P124" s="28"/>
      <c r="Q124" s="28"/>
      <c r="R124" s="28">
        <f>M124+N124+O124+P124+Q124</f>
        <v>37428.12</v>
      </c>
      <c r="S124" s="29">
        <f t="shared" si="11"/>
        <v>4853.559999999998</v>
      </c>
    </row>
    <row r="125" spans="1:19" ht="31.5" customHeight="1">
      <c r="A125" s="115" t="s">
        <v>176</v>
      </c>
      <c r="B125" s="76">
        <v>23</v>
      </c>
      <c r="C125" s="115" t="s">
        <v>371</v>
      </c>
      <c r="D125" s="117">
        <v>42281.68</v>
      </c>
      <c r="E125" s="116" t="s">
        <v>177</v>
      </c>
      <c r="F125" s="118">
        <v>34174.56</v>
      </c>
      <c r="G125" s="78">
        <f t="shared" si="10"/>
        <v>8107.120000000003</v>
      </c>
      <c r="H125" s="97" t="s">
        <v>186</v>
      </c>
      <c r="I125" s="80" t="s">
        <v>117</v>
      </c>
      <c r="J125" s="80" t="s">
        <v>179</v>
      </c>
      <c r="K125" s="81" t="s">
        <v>189</v>
      </c>
      <c r="L125" s="80">
        <v>1</v>
      </c>
      <c r="M125" s="28">
        <f>2292.07*14</f>
        <v>32088.980000000003</v>
      </c>
      <c r="N125" s="28">
        <f>53.45*12+22.79*14+279.7*12</f>
        <v>4316.86</v>
      </c>
      <c r="O125" s="28"/>
      <c r="P125" s="28"/>
      <c r="Q125" s="28"/>
      <c r="R125" s="28">
        <f>M125+N125+O125+P125+Q125</f>
        <v>36405.840000000004</v>
      </c>
      <c r="S125" s="29">
        <f t="shared" si="11"/>
        <v>5875.8399999999965</v>
      </c>
    </row>
    <row r="126" spans="1:19" ht="31.5" customHeight="1">
      <c r="A126" s="115" t="s">
        <v>176</v>
      </c>
      <c r="B126" s="76">
        <v>23</v>
      </c>
      <c r="C126" s="115" t="s">
        <v>371</v>
      </c>
      <c r="D126" s="117">
        <v>42281.68</v>
      </c>
      <c r="E126" s="116" t="s">
        <v>177</v>
      </c>
      <c r="F126" s="118">
        <v>34174.56</v>
      </c>
      <c r="G126" s="78">
        <f t="shared" si="10"/>
        <v>8107.120000000003</v>
      </c>
      <c r="H126" s="97" t="s">
        <v>186</v>
      </c>
      <c r="I126" s="27" t="s">
        <v>128</v>
      </c>
      <c r="J126" s="80" t="s">
        <v>190</v>
      </c>
      <c r="K126" s="107" t="s">
        <v>191</v>
      </c>
      <c r="L126" s="80">
        <v>5</v>
      </c>
      <c r="M126" s="28">
        <f>1194.62*14</f>
        <v>16724.68</v>
      </c>
      <c r="N126" s="28">
        <f>338.79*14+44.85*14+30.36*14+200.29*14+210.87*14</f>
        <v>11552.24</v>
      </c>
      <c r="O126" s="28">
        <f>399.4*14</f>
        <v>5591.599999999999</v>
      </c>
      <c r="P126" s="28"/>
      <c r="Q126" s="28"/>
      <c r="R126" s="28">
        <f>M126+N126+O126+P126+Q126</f>
        <v>33868.52</v>
      </c>
      <c r="S126" s="29">
        <f t="shared" si="11"/>
        <v>8413.160000000003</v>
      </c>
    </row>
    <row r="127" spans="1:19" ht="31.5" customHeight="1">
      <c r="A127" s="83"/>
      <c r="B127" s="83"/>
      <c r="C127" s="85"/>
      <c r="D127" s="84"/>
      <c r="E127" s="86"/>
      <c r="F127" s="87"/>
      <c r="G127" s="84"/>
      <c r="H127" s="88"/>
      <c r="I127" s="88"/>
      <c r="J127" s="89"/>
      <c r="K127" s="88"/>
      <c r="L127" s="90"/>
      <c r="M127" s="90"/>
      <c r="N127" s="90"/>
      <c r="O127" s="90"/>
      <c r="P127" s="90"/>
      <c r="Q127" s="90"/>
      <c r="R127" s="91"/>
      <c r="S127" s="29"/>
    </row>
    <row r="128" spans="1:19" ht="31.5" customHeight="1">
      <c r="A128" s="115" t="s">
        <v>176</v>
      </c>
      <c r="B128" s="76">
        <v>24</v>
      </c>
      <c r="C128" s="115" t="s">
        <v>375</v>
      </c>
      <c r="D128" s="117">
        <v>38649.38</v>
      </c>
      <c r="E128" s="116" t="s">
        <v>177</v>
      </c>
      <c r="F128" s="118">
        <v>34174.56</v>
      </c>
      <c r="G128" s="78">
        <f>D128-F128</f>
        <v>4474.82</v>
      </c>
      <c r="H128" s="79" t="s">
        <v>192</v>
      </c>
      <c r="I128" s="9"/>
      <c r="J128" s="9"/>
      <c r="K128" s="9"/>
      <c r="L128" s="10"/>
      <c r="M128" s="9"/>
      <c r="N128" s="9"/>
      <c r="O128" s="9"/>
      <c r="P128" s="9"/>
      <c r="Q128" s="9"/>
      <c r="R128" s="117">
        <v>38649.38</v>
      </c>
      <c r="S128" s="29"/>
    </row>
    <row r="129" spans="1:19" ht="31.5" customHeight="1">
      <c r="A129" s="83"/>
      <c r="B129" s="83"/>
      <c r="C129" s="85"/>
      <c r="D129" s="84"/>
      <c r="E129" s="86"/>
      <c r="F129" s="87"/>
      <c r="G129" s="84"/>
      <c r="H129" s="88"/>
      <c r="I129" s="88"/>
      <c r="J129" s="89"/>
      <c r="K129" s="88"/>
      <c r="L129" s="90"/>
      <c r="M129" s="90"/>
      <c r="N129" s="90"/>
      <c r="O129" s="90"/>
      <c r="P129" s="90"/>
      <c r="Q129" s="90"/>
      <c r="R129" s="91"/>
      <c r="S129" s="29"/>
    </row>
    <row r="130" spans="1:19" ht="31.5" customHeight="1">
      <c r="A130" s="115" t="s">
        <v>176</v>
      </c>
      <c r="B130" s="76">
        <v>22</v>
      </c>
      <c r="C130" s="115" t="s">
        <v>376</v>
      </c>
      <c r="D130" s="117">
        <v>37207.38</v>
      </c>
      <c r="E130" s="116" t="s">
        <v>177</v>
      </c>
      <c r="F130" s="118">
        <v>34174.56</v>
      </c>
      <c r="G130" s="78">
        <f>D130-F130</f>
        <v>3032.8199999999997</v>
      </c>
      <c r="H130" s="79" t="s">
        <v>193</v>
      </c>
      <c r="I130" s="9"/>
      <c r="J130" s="9"/>
      <c r="K130" s="9"/>
      <c r="L130" s="10"/>
      <c r="M130" s="9"/>
      <c r="N130" s="9"/>
      <c r="O130" s="9"/>
      <c r="P130" s="9"/>
      <c r="Q130" s="9"/>
      <c r="R130" s="117">
        <v>37207.38</v>
      </c>
      <c r="S130" s="29"/>
    </row>
    <row r="131" spans="1:19" ht="31.5" customHeight="1">
      <c r="A131" s="83"/>
      <c r="B131" s="83"/>
      <c r="C131" s="85"/>
      <c r="D131" s="84"/>
      <c r="E131" s="86"/>
      <c r="F131" s="87"/>
      <c r="G131" s="84"/>
      <c r="H131" s="88"/>
      <c r="I131" s="88"/>
      <c r="J131" s="89"/>
      <c r="K131" s="88"/>
      <c r="L131" s="90"/>
      <c r="M131" s="90"/>
      <c r="N131" s="90"/>
      <c r="O131" s="90"/>
      <c r="P131" s="90"/>
      <c r="Q131" s="90"/>
      <c r="R131" s="91"/>
      <c r="S131" s="29"/>
    </row>
    <row r="132" spans="1:19" s="102" customFormat="1" ht="31.5" customHeight="1">
      <c r="A132" s="92" t="s">
        <v>176</v>
      </c>
      <c r="B132" s="92">
        <v>22</v>
      </c>
      <c r="C132" s="92" t="s">
        <v>246</v>
      </c>
      <c r="D132" s="94">
        <v>36093.26</v>
      </c>
      <c r="E132" s="93" t="s">
        <v>194</v>
      </c>
      <c r="F132" s="95">
        <v>34174.56</v>
      </c>
      <c r="G132" s="96">
        <f aca="true" t="shared" si="12" ref="G132:G137">D132-F132</f>
        <v>1918.7000000000044</v>
      </c>
      <c r="H132" s="97" t="s">
        <v>195</v>
      </c>
      <c r="I132" s="100" t="s">
        <v>104</v>
      </c>
      <c r="J132" s="100" t="s">
        <v>196</v>
      </c>
      <c r="K132" s="114" t="s">
        <v>197</v>
      </c>
      <c r="L132" s="100">
        <v>3</v>
      </c>
      <c r="M132" s="101">
        <v>30949.66</v>
      </c>
      <c r="N132" s="101">
        <f>155.12+274.82+700.56</f>
        <v>1130.5</v>
      </c>
      <c r="O132" s="101">
        <f>9682.54+4047.82</f>
        <v>13730.36</v>
      </c>
      <c r="P132" s="101"/>
      <c r="Q132" s="101"/>
      <c r="R132" s="169">
        <f aca="true" t="shared" si="13" ref="R132:R137">M132+N132+O132+P132+Q132</f>
        <v>45810.520000000004</v>
      </c>
      <c r="S132" s="150">
        <f aca="true" t="shared" si="14" ref="S132:S137">D132-R132</f>
        <v>-9717.260000000002</v>
      </c>
    </row>
    <row r="133" spans="1:19" s="102" customFormat="1" ht="31.5" customHeight="1">
      <c r="A133" s="92" t="s">
        <v>176</v>
      </c>
      <c r="B133" s="92">
        <v>22</v>
      </c>
      <c r="C133" s="92" t="s">
        <v>246</v>
      </c>
      <c r="D133" s="94">
        <v>36093.26</v>
      </c>
      <c r="E133" s="93" t="s">
        <v>194</v>
      </c>
      <c r="F133" s="95">
        <v>34174.56</v>
      </c>
      <c r="G133" s="96">
        <f t="shared" si="12"/>
        <v>1918.7000000000044</v>
      </c>
      <c r="H133" s="97" t="s">
        <v>195</v>
      </c>
      <c r="I133" s="100" t="s">
        <v>100</v>
      </c>
      <c r="J133" s="100" t="s">
        <v>196</v>
      </c>
      <c r="K133" s="114" t="s">
        <v>198</v>
      </c>
      <c r="L133" s="100">
        <v>15</v>
      </c>
      <c r="M133" s="101">
        <v>35305.34</v>
      </c>
      <c r="N133" s="101">
        <v>445.9</v>
      </c>
      <c r="O133" s="101"/>
      <c r="P133" s="101"/>
      <c r="Q133" s="101">
        <v>321.36</v>
      </c>
      <c r="R133" s="169">
        <f t="shared" si="13"/>
        <v>36072.6</v>
      </c>
      <c r="S133" s="150">
        <f t="shared" si="14"/>
        <v>20.660000000003492</v>
      </c>
    </row>
    <row r="134" spans="1:19" s="102" customFormat="1" ht="31.5" customHeight="1">
      <c r="A134" s="92" t="s">
        <v>176</v>
      </c>
      <c r="B134" s="92">
        <v>22</v>
      </c>
      <c r="C134" s="92" t="s">
        <v>246</v>
      </c>
      <c r="D134" s="94">
        <v>36093.26</v>
      </c>
      <c r="E134" s="93" t="s">
        <v>194</v>
      </c>
      <c r="F134" s="95">
        <v>34174.56</v>
      </c>
      <c r="G134" s="96">
        <f t="shared" si="12"/>
        <v>1918.7000000000044</v>
      </c>
      <c r="H134" s="97" t="s">
        <v>195</v>
      </c>
      <c r="I134" s="100" t="s">
        <v>100</v>
      </c>
      <c r="J134" s="100" t="s">
        <v>196</v>
      </c>
      <c r="K134" s="114" t="s">
        <v>199</v>
      </c>
      <c r="L134" s="100">
        <v>15</v>
      </c>
      <c r="M134" s="101">
        <v>35305.34</v>
      </c>
      <c r="N134" s="101">
        <v>445.9</v>
      </c>
      <c r="O134" s="101"/>
      <c r="P134" s="101"/>
      <c r="Q134" s="101">
        <v>321.36</v>
      </c>
      <c r="R134" s="169">
        <f t="shared" si="13"/>
        <v>36072.6</v>
      </c>
      <c r="S134" s="150">
        <f t="shared" si="14"/>
        <v>20.660000000003492</v>
      </c>
    </row>
    <row r="135" spans="1:19" s="102" customFormat="1" ht="31.5" customHeight="1">
      <c r="A135" s="92" t="s">
        <v>176</v>
      </c>
      <c r="B135" s="92">
        <v>22</v>
      </c>
      <c r="C135" s="92" t="s">
        <v>246</v>
      </c>
      <c r="D135" s="94">
        <v>36093.26</v>
      </c>
      <c r="E135" s="93" t="s">
        <v>194</v>
      </c>
      <c r="F135" s="95">
        <v>34174.56</v>
      </c>
      <c r="G135" s="96">
        <f t="shared" si="12"/>
        <v>1918.7000000000044</v>
      </c>
      <c r="H135" s="97" t="s">
        <v>195</v>
      </c>
      <c r="I135" s="100" t="s">
        <v>100</v>
      </c>
      <c r="J135" s="100" t="s">
        <v>196</v>
      </c>
      <c r="K135" s="114" t="s">
        <v>200</v>
      </c>
      <c r="L135" s="100">
        <v>7</v>
      </c>
      <c r="M135" s="101">
        <v>35305.34</v>
      </c>
      <c r="N135" s="101">
        <v>445.9</v>
      </c>
      <c r="O135" s="101"/>
      <c r="P135" s="101"/>
      <c r="Q135" s="101">
        <v>321.36</v>
      </c>
      <c r="R135" s="169">
        <f t="shared" si="13"/>
        <v>36072.6</v>
      </c>
      <c r="S135" s="150">
        <f t="shared" si="14"/>
        <v>20.660000000003492</v>
      </c>
    </row>
    <row r="136" spans="1:19" ht="31.5" customHeight="1">
      <c r="A136" s="115" t="s">
        <v>176</v>
      </c>
      <c r="B136" s="76">
        <v>22</v>
      </c>
      <c r="C136" s="115" t="s">
        <v>246</v>
      </c>
      <c r="D136" s="117">
        <v>36093.26</v>
      </c>
      <c r="E136" s="116" t="s">
        <v>194</v>
      </c>
      <c r="F136" s="118">
        <v>34174.56</v>
      </c>
      <c r="G136" s="78">
        <f t="shared" si="12"/>
        <v>1918.7000000000044</v>
      </c>
      <c r="H136" s="79" t="s">
        <v>195</v>
      </c>
      <c r="I136" s="80" t="s">
        <v>104</v>
      </c>
      <c r="J136" s="80" t="s">
        <v>196</v>
      </c>
      <c r="K136" s="81" t="s">
        <v>201</v>
      </c>
      <c r="L136" s="80">
        <v>1</v>
      </c>
      <c r="M136" s="28">
        <v>20437.2</v>
      </c>
      <c r="N136" s="28">
        <f>268.8+159.88+404.18</f>
        <v>832.86</v>
      </c>
      <c r="O136" s="28">
        <f>3329.9+3393.32</f>
        <v>6723.22</v>
      </c>
      <c r="P136" s="28"/>
      <c r="Q136" s="28"/>
      <c r="R136" s="28">
        <f t="shared" si="13"/>
        <v>27993.280000000002</v>
      </c>
      <c r="S136" s="29">
        <f t="shared" si="14"/>
        <v>8099.98</v>
      </c>
    </row>
    <row r="137" spans="1:19" ht="31.5" customHeight="1">
      <c r="A137" s="115" t="s">
        <v>176</v>
      </c>
      <c r="B137" s="76">
        <v>22</v>
      </c>
      <c r="C137" s="115" t="s">
        <v>246</v>
      </c>
      <c r="D137" s="117">
        <v>36093.26</v>
      </c>
      <c r="E137" s="116" t="s">
        <v>194</v>
      </c>
      <c r="F137" s="118">
        <v>34174.56</v>
      </c>
      <c r="G137" s="78">
        <f t="shared" si="12"/>
        <v>1918.7000000000044</v>
      </c>
      <c r="H137" s="79" t="s">
        <v>195</v>
      </c>
      <c r="I137" s="119" t="s">
        <v>100</v>
      </c>
      <c r="J137" s="80" t="s">
        <v>196</v>
      </c>
      <c r="K137" s="122" t="s">
        <v>202</v>
      </c>
      <c r="L137" s="80">
        <v>5</v>
      </c>
      <c r="M137" s="121">
        <v>32332.3</v>
      </c>
      <c r="N137" s="28">
        <v>490.14</v>
      </c>
      <c r="O137" s="28"/>
      <c r="P137" s="28">
        <v>3224.04</v>
      </c>
      <c r="Q137" s="28">
        <v>321.36</v>
      </c>
      <c r="R137" s="28">
        <f t="shared" si="13"/>
        <v>36367.840000000004</v>
      </c>
      <c r="S137" s="29">
        <f t="shared" si="14"/>
        <v>-274.58000000000175</v>
      </c>
    </row>
    <row r="138" spans="1:19" ht="31.5" customHeight="1">
      <c r="A138" s="83"/>
      <c r="B138" s="83"/>
      <c r="C138" s="85"/>
      <c r="D138" s="84"/>
      <c r="E138" s="86"/>
      <c r="F138" s="87"/>
      <c r="G138" s="84"/>
      <c r="H138" s="88"/>
      <c r="I138" s="88"/>
      <c r="J138" s="89"/>
      <c r="K138" s="88"/>
      <c r="L138" s="90"/>
      <c r="M138" s="90"/>
      <c r="N138" s="90"/>
      <c r="O138" s="90"/>
      <c r="P138" s="90"/>
      <c r="Q138" s="90"/>
      <c r="R138" s="91"/>
      <c r="S138" s="29"/>
    </row>
    <row r="139" spans="1:19" ht="31.5" customHeight="1">
      <c r="A139" s="123" t="s">
        <v>176</v>
      </c>
      <c r="B139" s="124">
        <v>20</v>
      </c>
      <c r="C139" s="123" t="s">
        <v>377</v>
      </c>
      <c r="D139" s="125">
        <v>34174.56</v>
      </c>
      <c r="E139" s="116" t="s">
        <v>177</v>
      </c>
      <c r="F139" s="118">
        <v>34174.56</v>
      </c>
      <c r="G139" s="78">
        <f aca="true" t="shared" si="15" ref="G139:G156">D139-F139</f>
        <v>0</v>
      </c>
      <c r="H139" s="116" t="s">
        <v>203</v>
      </c>
      <c r="I139" s="80" t="s">
        <v>104</v>
      </c>
      <c r="J139" s="80" t="s">
        <v>179</v>
      </c>
      <c r="K139" s="81" t="s">
        <v>204</v>
      </c>
      <c r="L139" s="80">
        <v>2</v>
      </c>
      <c r="M139" s="28">
        <v>20437.2</v>
      </c>
      <c r="N139" s="28">
        <f>268.8+159.88+404.18</f>
        <v>832.86</v>
      </c>
      <c r="O139" s="28">
        <f>3329.9+3258.78</f>
        <v>6588.68</v>
      </c>
      <c r="P139" s="28"/>
      <c r="Q139" s="28"/>
      <c r="R139" s="28">
        <f>M139+N139+O139+P139+Q139</f>
        <v>27858.74</v>
      </c>
      <c r="S139" s="29">
        <f aca="true" t="shared" si="16" ref="S139:S156">D139-R139</f>
        <v>6315.819999999996</v>
      </c>
    </row>
    <row r="140" spans="1:19" s="102" customFormat="1" ht="31.5" customHeight="1">
      <c r="A140" s="126" t="s">
        <v>176</v>
      </c>
      <c r="B140" s="126">
        <v>20</v>
      </c>
      <c r="C140" s="126" t="s">
        <v>377</v>
      </c>
      <c r="D140" s="127">
        <v>34174.56</v>
      </c>
      <c r="E140" s="93" t="s">
        <v>177</v>
      </c>
      <c r="F140" s="95">
        <v>34174.56</v>
      </c>
      <c r="G140" s="96">
        <f t="shared" si="15"/>
        <v>0</v>
      </c>
      <c r="H140" s="116" t="s">
        <v>203</v>
      </c>
      <c r="I140" s="100" t="s">
        <v>114</v>
      </c>
      <c r="J140" s="100" t="s">
        <v>179</v>
      </c>
      <c r="K140" s="114" t="s">
        <v>184</v>
      </c>
      <c r="L140" s="100">
        <v>2</v>
      </c>
      <c r="M140" s="101">
        <f>1903.53*14</f>
        <v>26649.42</v>
      </c>
      <c r="N140" s="101">
        <f>12*(211.26+146.82+154.59+103.5)</f>
        <v>7394.039999999999</v>
      </c>
      <c r="O140" s="101"/>
      <c r="P140" s="101"/>
      <c r="Q140" s="101"/>
      <c r="R140" s="101">
        <f>SUM(M140:Q140)</f>
        <v>34043.46</v>
      </c>
      <c r="S140" s="29">
        <f t="shared" si="16"/>
        <v>131.09999999999854</v>
      </c>
    </row>
    <row r="141" spans="1:19" ht="31.5" customHeight="1">
      <c r="A141" s="123" t="s">
        <v>176</v>
      </c>
      <c r="B141" s="124">
        <v>20</v>
      </c>
      <c r="C141" s="123" t="s">
        <v>377</v>
      </c>
      <c r="D141" s="125">
        <v>34174.56</v>
      </c>
      <c r="E141" s="116" t="s">
        <v>177</v>
      </c>
      <c r="F141" s="118">
        <v>34174.56</v>
      </c>
      <c r="G141" s="78">
        <f t="shared" si="15"/>
        <v>0</v>
      </c>
      <c r="H141" s="116" t="s">
        <v>203</v>
      </c>
      <c r="I141" s="80" t="s">
        <v>67</v>
      </c>
      <c r="J141" s="104" t="s">
        <v>179</v>
      </c>
      <c r="K141" s="105" t="s">
        <v>205</v>
      </c>
      <c r="L141" s="104">
        <v>1</v>
      </c>
      <c r="M141" s="106">
        <v>17899.42</v>
      </c>
      <c r="N141" s="106">
        <f>9211.58+2505.16</f>
        <v>11716.74</v>
      </c>
      <c r="O141" s="106">
        <v>5214.3</v>
      </c>
      <c r="P141" s="106"/>
      <c r="Q141" s="106">
        <v>511.7</v>
      </c>
      <c r="R141" s="106">
        <f aca="true" t="shared" si="17" ref="R141:R149">M141+N141+O141+P141+Q141</f>
        <v>35342.159999999996</v>
      </c>
      <c r="S141" s="29">
        <f t="shared" si="16"/>
        <v>-1167.5999999999985</v>
      </c>
    </row>
    <row r="142" spans="1:19" ht="31.5" customHeight="1">
      <c r="A142" s="123" t="s">
        <v>176</v>
      </c>
      <c r="B142" s="124">
        <v>20</v>
      </c>
      <c r="C142" s="123" t="s">
        <v>377</v>
      </c>
      <c r="D142" s="125">
        <v>34174.56</v>
      </c>
      <c r="E142" s="116" t="s">
        <v>194</v>
      </c>
      <c r="F142" s="118">
        <v>34174.56</v>
      </c>
      <c r="G142" s="78">
        <f t="shared" si="15"/>
        <v>0</v>
      </c>
      <c r="H142" s="116" t="s">
        <v>203</v>
      </c>
      <c r="I142" s="119" t="s">
        <v>100</v>
      </c>
      <c r="J142" s="80" t="s">
        <v>196</v>
      </c>
      <c r="K142" s="120" t="s">
        <v>206</v>
      </c>
      <c r="L142" s="80">
        <v>15</v>
      </c>
      <c r="M142" s="121">
        <v>30744</v>
      </c>
      <c r="N142" s="28">
        <v>513.94</v>
      </c>
      <c r="O142" s="28">
        <v>2495.64</v>
      </c>
      <c r="P142" s="28"/>
      <c r="Q142" s="28">
        <v>321.36</v>
      </c>
      <c r="R142" s="28">
        <f t="shared" si="17"/>
        <v>34074.94</v>
      </c>
      <c r="S142" s="29">
        <f t="shared" si="16"/>
        <v>99.61999999999534</v>
      </c>
    </row>
    <row r="143" spans="1:19" ht="31.5" customHeight="1">
      <c r="A143" s="123" t="s">
        <v>176</v>
      </c>
      <c r="B143" s="124">
        <v>20</v>
      </c>
      <c r="C143" s="123" t="s">
        <v>377</v>
      </c>
      <c r="D143" s="125">
        <v>34174.56</v>
      </c>
      <c r="E143" s="116" t="s">
        <v>194</v>
      </c>
      <c r="F143" s="118">
        <v>34174.56</v>
      </c>
      <c r="G143" s="78">
        <f t="shared" si="15"/>
        <v>0</v>
      </c>
      <c r="H143" s="116" t="s">
        <v>203</v>
      </c>
      <c r="I143" s="119" t="s">
        <v>100</v>
      </c>
      <c r="J143" s="80" t="s">
        <v>196</v>
      </c>
      <c r="K143" s="120" t="s">
        <v>207</v>
      </c>
      <c r="L143" s="80">
        <v>13</v>
      </c>
      <c r="M143" s="121">
        <v>30744</v>
      </c>
      <c r="N143" s="28">
        <v>513.94</v>
      </c>
      <c r="O143" s="28">
        <v>2495.64</v>
      </c>
      <c r="P143" s="28"/>
      <c r="Q143" s="28">
        <v>321.36</v>
      </c>
      <c r="R143" s="28">
        <f t="shared" si="17"/>
        <v>34074.94</v>
      </c>
      <c r="S143" s="29">
        <f t="shared" si="16"/>
        <v>99.61999999999534</v>
      </c>
    </row>
    <row r="144" spans="1:19" ht="31.5" customHeight="1">
      <c r="A144" s="123" t="s">
        <v>176</v>
      </c>
      <c r="B144" s="124">
        <v>20</v>
      </c>
      <c r="C144" s="123" t="s">
        <v>377</v>
      </c>
      <c r="D144" s="125">
        <v>34174.56</v>
      </c>
      <c r="E144" s="116" t="s">
        <v>194</v>
      </c>
      <c r="F144" s="118">
        <v>34174.56</v>
      </c>
      <c r="G144" s="78">
        <f t="shared" si="15"/>
        <v>0</v>
      </c>
      <c r="H144" s="116" t="s">
        <v>203</v>
      </c>
      <c r="I144" s="119" t="s">
        <v>100</v>
      </c>
      <c r="J144" s="80" t="s">
        <v>196</v>
      </c>
      <c r="K144" s="120" t="s">
        <v>208</v>
      </c>
      <c r="L144" s="80">
        <v>13</v>
      </c>
      <c r="M144" s="121">
        <v>30744</v>
      </c>
      <c r="N144" s="28">
        <v>513.94</v>
      </c>
      <c r="O144" s="28">
        <v>2495.64</v>
      </c>
      <c r="P144" s="28"/>
      <c r="Q144" s="28">
        <v>321.36</v>
      </c>
      <c r="R144" s="28">
        <f t="shared" si="17"/>
        <v>34074.94</v>
      </c>
      <c r="S144" s="29">
        <f t="shared" si="16"/>
        <v>99.61999999999534</v>
      </c>
    </row>
    <row r="145" spans="1:19" ht="31.5" customHeight="1">
      <c r="A145" s="123" t="s">
        <v>176</v>
      </c>
      <c r="B145" s="124">
        <v>20</v>
      </c>
      <c r="C145" s="123" t="s">
        <v>377</v>
      </c>
      <c r="D145" s="125">
        <v>34174.56</v>
      </c>
      <c r="E145" s="116" t="s">
        <v>194</v>
      </c>
      <c r="F145" s="118">
        <v>34174.56</v>
      </c>
      <c r="G145" s="78">
        <f t="shared" si="15"/>
        <v>0</v>
      </c>
      <c r="H145" s="116" t="s">
        <v>203</v>
      </c>
      <c r="I145" s="119" t="s">
        <v>100</v>
      </c>
      <c r="J145" s="80" t="s">
        <v>196</v>
      </c>
      <c r="K145" s="120" t="s">
        <v>209</v>
      </c>
      <c r="L145" s="80">
        <v>21</v>
      </c>
      <c r="M145" s="121">
        <v>27396.88</v>
      </c>
      <c r="N145" s="28">
        <v>578.62</v>
      </c>
      <c r="O145" s="28">
        <v>5755.82</v>
      </c>
      <c r="P145" s="28"/>
      <c r="Q145" s="28">
        <v>321.36</v>
      </c>
      <c r="R145" s="28">
        <f t="shared" si="17"/>
        <v>34052.68</v>
      </c>
      <c r="S145" s="29">
        <f t="shared" si="16"/>
        <v>121.87999999999738</v>
      </c>
    </row>
    <row r="146" spans="1:19" ht="31.5" customHeight="1">
      <c r="A146" s="123" t="s">
        <v>176</v>
      </c>
      <c r="B146" s="124">
        <v>20</v>
      </c>
      <c r="C146" s="123" t="s">
        <v>377</v>
      </c>
      <c r="D146" s="125">
        <v>34174.56</v>
      </c>
      <c r="E146" s="116" t="s">
        <v>194</v>
      </c>
      <c r="F146" s="118">
        <v>34174.56</v>
      </c>
      <c r="G146" s="78">
        <f t="shared" si="15"/>
        <v>0</v>
      </c>
      <c r="H146" s="116" t="s">
        <v>203</v>
      </c>
      <c r="I146" s="119" t="s">
        <v>100</v>
      </c>
      <c r="J146" s="80" t="s">
        <v>196</v>
      </c>
      <c r="K146" s="120" t="s">
        <v>210</v>
      </c>
      <c r="L146" s="80">
        <v>20</v>
      </c>
      <c r="M146" s="121">
        <v>27396.88</v>
      </c>
      <c r="N146" s="28">
        <v>578.62</v>
      </c>
      <c r="O146" s="28">
        <v>5755.82</v>
      </c>
      <c r="P146" s="28"/>
      <c r="Q146" s="28">
        <v>321.36</v>
      </c>
      <c r="R146" s="28">
        <f t="shared" si="17"/>
        <v>34052.68</v>
      </c>
      <c r="S146" s="29">
        <f t="shared" si="16"/>
        <v>121.87999999999738</v>
      </c>
    </row>
    <row r="147" spans="1:19" ht="31.5" customHeight="1">
      <c r="A147" s="123" t="s">
        <v>176</v>
      </c>
      <c r="B147" s="124">
        <v>20</v>
      </c>
      <c r="C147" s="123" t="s">
        <v>377</v>
      </c>
      <c r="D147" s="125">
        <v>34174.56</v>
      </c>
      <c r="E147" s="116" t="s">
        <v>194</v>
      </c>
      <c r="F147" s="118">
        <v>34174.56</v>
      </c>
      <c r="G147" s="78">
        <f t="shared" si="15"/>
        <v>0</v>
      </c>
      <c r="H147" s="116" t="s">
        <v>203</v>
      </c>
      <c r="I147" s="119" t="s">
        <v>100</v>
      </c>
      <c r="J147" s="80" t="s">
        <v>196</v>
      </c>
      <c r="K147" s="120" t="s">
        <v>211</v>
      </c>
      <c r="L147" s="80">
        <v>9</v>
      </c>
      <c r="M147" s="121">
        <v>25063.36</v>
      </c>
      <c r="N147" s="28">
        <v>634.34</v>
      </c>
      <c r="O147" s="28"/>
      <c r="P147" s="28"/>
      <c r="Q147" s="28">
        <v>321.36</v>
      </c>
      <c r="R147" s="28">
        <f t="shared" si="17"/>
        <v>26019.06</v>
      </c>
      <c r="S147" s="29">
        <f t="shared" si="16"/>
        <v>8155.499999999996</v>
      </c>
    </row>
    <row r="148" spans="1:19" ht="31.5" customHeight="1">
      <c r="A148" s="123" t="s">
        <v>176</v>
      </c>
      <c r="B148" s="124">
        <v>20</v>
      </c>
      <c r="C148" s="123" t="s">
        <v>377</v>
      </c>
      <c r="D148" s="125">
        <v>34174.56</v>
      </c>
      <c r="E148" s="116" t="s">
        <v>194</v>
      </c>
      <c r="F148" s="118">
        <v>34174.56</v>
      </c>
      <c r="G148" s="78">
        <f t="shared" si="15"/>
        <v>0</v>
      </c>
      <c r="H148" s="116" t="s">
        <v>203</v>
      </c>
      <c r="I148" s="80" t="s">
        <v>117</v>
      </c>
      <c r="J148" s="80" t="s">
        <v>196</v>
      </c>
      <c r="K148" s="108" t="s">
        <v>212</v>
      </c>
      <c r="L148" s="80">
        <v>2</v>
      </c>
      <c r="M148" s="28">
        <f>1577.67*14</f>
        <v>22087.38</v>
      </c>
      <c r="N148" s="28">
        <f>53.45*12+46.69*14+464.03*12</f>
        <v>6863.42</v>
      </c>
      <c r="O148" s="28">
        <f>362.03*14</f>
        <v>5068.42</v>
      </c>
      <c r="P148" s="28"/>
      <c r="Q148" s="28"/>
      <c r="R148" s="28">
        <f t="shared" si="17"/>
        <v>34019.22</v>
      </c>
      <c r="S148" s="29">
        <f t="shared" si="16"/>
        <v>155.3399999999965</v>
      </c>
    </row>
    <row r="149" spans="1:19" ht="31.5" customHeight="1">
      <c r="A149" s="123" t="s">
        <v>176</v>
      </c>
      <c r="B149" s="124">
        <v>20</v>
      </c>
      <c r="C149" s="123" t="s">
        <v>377</v>
      </c>
      <c r="D149" s="125">
        <v>34174.56</v>
      </c>
      <c r="E149" s="116" t="s">
        <v>213</v>
      </c>
      <c r="F149" s="118">
        <v>34174.56</v>
      </c>
      <c r="G149" s="78">
        <f t="shared" si="15"/>
        <v>0</v>
      </c>
      <c r="H149" s="116" t="s">
        <v>203</v>
      </c>
      <c r="I149" s="80" t="s">
        <v>214</v>
      </c>
      <c r="J149" s="80" t="s">
        <v>215</v>
      </c>
      <c r="K149" s="108" t="s">
        <v>216</v>
      </c>
      <c r="L149" s="80">
        <v>7</v>
      </c>
      <c r="M149" s="28">
        <v>32524.91</v>
      </c>
      <c r="N149" s="28"/>
      <c r="O149" s="28">
        <v>848.96</v>
      </c>
      <c r="P149" s="28"/>
      <c r="Q149" s="28"/>
      <c r="R149" s="28">
        <f t="shared" si="17"/>
        <v>33373.87</v>
      </c>
      <c r="S149" s="29">
        <f t="shared" si="16"/>
        <v>800.689999999995</v>
      </c>
    </row>
    <row r="150" spans="1:19" s="102" customFormat="1" ht="31.5" customHeight="1">
      <c r="A150" s="126" t="s">
        <v>176</v>
      </c>
      <c r="B150" s="126">
        <v>20</v>
      </c>
      <c r="C150" s="126" t="s">
        <v>377</v>
      </c>
      <c r="D150" s="127">
        <v>34174.56</v>
      </c>
      <c r="E150" s="93" t="s">
        <v>213</v>
      </c>
      <c r="F150" s="95">
        <v>34174.56</v>
      </c>
      <c r="G150" s="96">
        <f t="shared" si="15"/>
        <v>0</v>
      </c>
      <c r="H150" s="116" t="s">
        <v>203</v>
      </c>
      <c r="I150" s="128" t="s">
        <v>114</v>
      </c>
      <c r="J150" s="128" t="s">
        <v>215</v>
      </c>
      <c r="K150" s="129" t="s">
        <v>217</v>
      </c>
      <c r="L150" s="128">
        <v>33</v>
      </c>
      <c r="M150" s="130">
        <f>2371.66*14</f>
        <v>33203.24</v>
      </c>
      <c r="N150" s="130"/>
      <c r="O150" s="130"/>
      <c r="P150" s="130"/>
      <c r="Q150" s="130"/>
      <c r="R150" s="130">
        <f>SUM(M150:Q150)</f>
        <v>33203.24</v>
      </c>
      <c r="S150" s="29">
        <f t="shared" si="16"/>
        <v>971.3199999999997</v>
      </c>
    </row>
    <row r="151" spans="1:19" ht="31.5" customHeight="1">
      <c r="A151" s="123" t="s">
        <v>176</v>
      </c>
      <c r="B151" s="124">
        <v>20</v>
      </c>
      <c r="C151" s="123" t="s">
        <v>377</v>
      </c>
      <c r="D151" s="125">
        <v>34174.56</v>
      </c>
      <c r="E151" s="116" t="s">
        <v>218</v>
      </c>
      <c r="F151" s="118">
        <v>34174.56</v>
      </c>
      <c r="G151" s="78">
        <f t="shared" si="15"/>
        <v>0</v>
      </c>
      <c r="H151" s="116" t="s">
        <v>203</v>
      </c>
      <c r="I151" s="131" t="s">
        <v>117</v>
      </c>
      <c r="J151" s="131" t="s">
        <v>219</v>
      </c>
      <c r="K151" s="132" t="s">
        <v>220</v>
      </c>
      <c r="L151" s="131">
        <f>106+22.42</f>
        <v>128.42000000000002</v>
      </c>
      <c r="M151" s="133">
        <f>1577.67*14</f>
        <v>22087.38</v>
      </c>
      <c r="N151" s="133">
        <f>53.45*12+46.69*14+464.03*12</f>
        <v>6863.42</v>
      </c>
      <c r="O151" s="133">
        <f>362.03*14</f>
        <v>5068.42</v>
      </c>
      <c r="P151" s="133"/>
      <c r="Q151" s="133"/>
      <c r="R151" s="133">
        <f aca="true" t="shared" si="18" ref="R151:R156">M151+N151+O151+P151+Q151</f>
        <v>34019.22</v>
      </c>
      <c r="S151" s="29">
        <f t="shared" si="16"/>
        <v>155.3399999999965</v>
      </c>
    </row>
    <row r="152" spans="1:19" ht="31.5" customHeight="1">
      <c r="A152" s="123" t="s">
        <v>176</v>
      </c>
      <c r="B152" s="124">
        <v>20</v>
      </c>
      <c r="C152" s="123" t="s">
        <v>377</v>
      </c>
      <c r="D152" s="125">
        <v>34174.56</v>
      </c>
      <c r="E152" s="116" t="s">
        <v>218</v>
      </c>
      <c r="F152" s="118">
        <v>34174.56</v>
      </c>
      <c r="G152" s="78">
        <f t="shared" si="15"/>
        <v>0</v>
      </c>
      <c r="H152" s="116" t="s">
        <v>203</v>
      </c>
      <c r="I152" s="80" t="s">
        <v>117</v>
      </c>
      <c r="J152" s="80" t="s">
        <v>221</v>
      </c>
      <c r="K152" s="108" t="s">
        <v>212</v>
      </c>
      <c r="L152" s="80">
        <v>19</v>
      </c>
      <c r="M152" s="28">
        <f>1577.67*14</f>
        <v>22087.38</v>
      </c>
      <c r="N152" s="28">
        <f>53.45*12+46.69*14+464.03*12</f>
        <v>6863.42</v>
      </c>
      <c r="O152" s="28">
        <f>362.03*14</f>
        <v>5068.42</v>
      </c>
      <c r="P152" s="28"/>
      <c r="Q152" s="28"/>
      <c r="R152" s="28">
        <f t="shared" si="18"/>
        <v>34019.22</v>
      </c>
      <c r="S152" s="29">
        <f t="shared" si="16"/>
        <v>155.3399999999965</v>
      </c>
    </row>
    <row r="153" spans="1:19" ht="31.5" customHeight="1">
      <c r="A153" s="123" t="s">
        <v>176</v>
      </c>
      <c r="B153" s="124">
        <v>20</v>
      </c>
      <c r="C153" s="123" t="s">
        <v>377</v>
      </c>
      <c r="D153" s="125">
        <v>34174.56</v>
      </c>
      <c r="E153" s="116" t="s">
        <v>218</v>
      </c>
      <c r="F153" s="118">
        <v>34174.56</v>
      </c>
      <c r="G153" s="78">
        <f t="shared" si="15"/>
        <v>0</v>
      </c>
      <c r="H153" s="116" t="s">
        <v>203</v>
      </c>
      <c r="I153" s="80" t="s">
        <v>117</v>
      </c>
      <c r="J153" s="80" t="s">
        <v>221</v>
      </c>
      <c r="K153" s="108" t="s">
        <v>222</v>
      </c>
      <c r="L153" s="80">
        <v>3</v>
      </c>
      <c r="M153" s="28">
        <f>1577.67*14</f>
        <v>22087.38</v>
      </c>
      <c r="N153" s="28">
        <f>53.45*12+46.69*14+619.95*12+263.59*12</f>
        <v>11897.54</v>
      </c>
      <c r="O153" s="28"/>
      <c r="P153" s="28"/>
      <c r="Q153" s="28"/>
      <c r="R153" s="28">
        <f t="shared" si="18"/>
        <v>33984.92</v>
      </c>
      <c r="S153" s="29">
        <f t="shared" si="16"/>
        <v>189.63999999999942</v>
      </c>
    </row>
    <row r="154" spans="1:19" ht="31.5" customHeight="1">
      <c r="A154" s="123" t="s">
        <v>176</v>
      </c>
      <c r="B154" s="124">
        <v>20</v>
      </c>
      <c r="C154" s="123" t="s">
        <v>377</v>
      </c>
      <c r="D154" s="125">
        <v>34174.56</v>
      </c>
      <c r="E154" s="116" t="s">
        <v>218</v>
      </c>
      <c r="F154" s="118">
        <v>34174.56</v>
      </c>
      <c r="G154" s="78">
        <f t="shared" si="15"/>
        <v>0</v>
      </c>
      <c r="H154" s="116" t="s">
        <v>203</v>
      </c>
      <c r="I154" s="80" t="s">
        <v>67</v>
      </c>
      <c r="J154" s="104" t="s">
        <v>223</v>
      </c>
      <c r="K154" s="105" t="s">
        <v>224</v>
      </c>
      <c r="L154" s="104">
        <v>1</v>
      </c>
      <c r="M154" s="106">
        <v>16937.2</v>
      </c>
      <c r="N154" s="106">
        <f>319.06+1931.86</f>
        <v>2250.92</v>
      </c>
      <c r="O154" s="106">
        <v>27137.74</v>
      </c>
      <c r="P154" s="106"/>
      <c r="Q154" s="106"/>
      <c r="R154" s="106">
        <f t="shared" si="18"/>
        <v>46325.86</v>
      </c>
      <c r="S154" s="29">
        <f t="shared" si="16"/>
        <v>-12151.300000000003</v>
      </c>
    </row>
    <row r="155" spans="1:19" ht="31.5" customHeight="1">
      <c r="A155" s="123" t="s">
        <v>176</v>
      </c>
      <c r="B155" s="124">
        <v>20</v>
      </c>
      <c r="C155" s="123" t="s">
        <v>377</v>
      </c>
      <c r="D155" s="125">
        <v>34174.56</v>
      </c>
      <c r="E155" s="116" t="s">
        <v>218</v>
      </c>
      <c r="F155" s="118">
        <v>34174.56</v>
      </c>
      <c r="G155" s="78">
        <f t="shared" si="15"/>
        <v>0</v>
      </c>
      <c r="H155" s="116" t="s">
        <v>203</v>
      </c>
      <c r="I155" s="80" t="s">
        <v>67</v>
      </c>
      <c r="J155" s="104" t="s">
        <v>223</v>
      </c>
      <c r="K155" s="105" t="s">
        <v>225</v>
      </c>
      <c r="L155" s="104">
        <v>1</v>
      </c>
      <c r="M155" s="106">
        <v>13833.54</v>
      </c>
      <c r="N155" s="106">
        <f>319.06+2024.68+1931.86</f>
        <v>4275.6</v>
      </c>
      <c r="O155" s="106">
        <v>8537.76</v>
      </c>
      <c r="P155" s="106"/>
      <c r="Q155" s="106"/>
      <c r="R155" s="106">
        <f t="shared" si="18"/>
        <v>26646.9</v>
      </c>
      <c r="S155" s="29">
        <f t="shared" si="16"/>
        <v>7527.659999999996</v>
      </c>
    </row>
    <row r="156" spans="1:19" ht="31.5" customHeight="1">
      <c r="A156" s="123" t="s">
        <v>176</v>
      </c>
      <c r="B156" s="124">
        <v>20</v>
      </c>
      <c r="C156" s="123" t="s">
        <v>377</v>
      </c>
      <c r="D156" s="125">
        <v>34174.56</v>
      </c>
      <c r="E156" s="116" t="s">
        <v>218</v>
      </c>
      <c r="F156" s="118">
        <v>34174.56</v>
      </c>
      <c r="G156" s="78">
        <f t="shared" si="15"/>
        <v>0</v>
      </c>
      <c r="H156" s="116" t="s">
        <v>203</v>
      </c>
      <c r="I156" s="80" t="s">
        <v>67</v>
      </c>
      <c r="J156" s="104" t="s">
        <v>223</v>
      </c>
      <c r="K156" s="105" t="s">
        <v>225</v>
      </c>
      <c r="L156" s="104">
        <v>1</v>
      </c>
      <c r="M156" s="106">
        <v>13833.54</v>
      </c>
      <c r="N156" s="106">
        <f>319.06+1931.86</f>
        <v>2250.92</v>
      </c>
      <c r="O156" s="106">
        <v>8537.76</v>
      </c>
      <c r="P156" s="106"/>
      <c r="Q156" s="106"/>
      <c r="R156" s="106">
        <f t="shared" si="18"/>
        <v>24622.22</v>
      </c>
      <c r="S156" s="29">
        <f t="shared" si="16"/>
        <v>9552.339999999997</v>
      </c>
    </row>
    <row r="157" spans="1:19" ht="31.5" customHeight="1">
      <c r="A157" s="83"/>
      <c r="B157" s="83"/>
      <c r="C157" s="85"/>
      <c r="D157" s="84"/>
      <c r="E157" s="86"/>
      <c r="F157" s="87"/>
      <c r="G157" s="84"/>
      <c r="H157" s="88"/>
      <c r="I157" s="88"/>
      <c r="J157" s="89"/>
      <c r="K157" s="88"/>
      <c r="L157" s="90"/>
      <c r="M157" s="90"/>
      <c r="N157" s="90"/>
      <c r="O157" s="90"/>
      <c r="P157" s="90"/>
      <c r="Q157" s="90"/>
      <c r="R157" s="91"/>
      <c r="S157" s="29"/>
    </row>
    <row r="158" spans="1:19" ht="31.5" customHeight="1">
      <c r="A158" s="134"/>
      <c r="B158" s="110"/>
      <c r="C158" s="134"/>
      <c r="D158" s="118"/>
      <c r="E158" s="116"/>
      <c r="F158" s="118"/>
      <c r="G158" s="78"/>
      <c r="H158" s="182"/>
      <c r="I158" s="135"/>
      <c r="J158" s="136"/>
      <c r="K158" s="137"/>
      <c r="L158" s="136"/>
      <c r="M158" s="138"/>
      <c r="N158" s="138"/>
      <c r="O158" s="138"/>
      <c r="P158" s="138"/>
      <c r="Q158" s="138"/>
      <c r="R158" s="138"/>
      <c r="S158" s="29"/>
    </row>
    <row r="159" spans="1:19" ht="31.5" customHeight="1">
      <c r="A159" s="134"/>
      <c r="B159" s="110"/>
      <c r="C159" s="134"/>
      <c r="D159" s="118"/>
      <c r="E159" s="116"/>
      <c r="F159" s="118"/>
      <c r="G159" s="78"/>
      <c r="H159" s="183"/>
      <c r="I159" s="135"/>
      <c r="J159" s="136"/>
      <c r="K159" s="137"/>
      <c r="L159" s="136"/>
      <c r="M159" s="138"/>
      <c r="N159" s="138"/>
      <c r="O159" s="138"/>
      <c r="P159" s="138"/>
      <c r="Q159" s="138"/>
      <c r="R159" s="138"/>
      <c r="S159" s="29"/>
    </row>
    <row r="160" spans="1:19" ht="31.5" customHeight="1">
      <c r="A160" s="134"/>
      <c r="B160" s="110"/>
      <c r="C160" s="134"/>
      <c r="D160" s="118"/>
      <c r="E160" s="116"/>
      <c r="F160" s="118"/>
      <c r="G160" s="78"/>
      <c r="H160" s="183"/>
      <c r="I160" s="135"/>
      <c r="J160" s="136"/>
      <c r="K160" s="137"/>
      <c r="L160" s="136"/>
      <c r="M160" s="138"/>
      <c r="N160" s="138"/>
      <c r="O160" s="138"/>
      <c r="P160" s="138"/>
      <c r="Q160" s="138"/>
      <c r="R160" s="138"/>
      <c r="S160" s="29"/>
    </row>
    <row r="161" spans="1:19" ht="31.5" customHeight="1">
      <c r="A161" s="134"/>
      <c r="B161" s="110"/>
      <c r="C161" s="134"/>
      <c r="D161" s="118"/>
      <c r="E161" s="116"/>
      <c r="F161" s="118"/>
      <c r="G161" s="78"/>
      <c r="H161" s="183"/>
      <c r="I161" s="135"/>
      <c r="J161" s="136"/>
      <c r="K161" s="137"/>
      <c r="L161" s="136"/>
      <c r="M161" s="138"/>
      <c r="N161" s="138"/>
      <c r="O161" s="138"/>
      <c r="P161" s="138"/>
      <c r="Q161" s="138"/>
      <c r="R161" s="138"/>
      <c r="S161" s="29"/>
    </row>
    <row r="162" spans="1:19" ht="31.5" customHeight="1">
      <c r="A162" s="134"/>
      <c r="B162" s="110"/>
      <c r="C162" s="110" t="s">
        <v>363</v>
      </c>
      <c r="D162" s="34" t="s">
        <v>77</v>
      </c>
      <c r="E162" s="70" t="s">
        <v>226</v>
      </c>
      <c r="F162" s="34" t="s">
        <v>78</v>
      </c>
      <c r="G162" s="78"/>
      <c r="H162" s="183"/>
      <c r="I162" s="35"/>
      <c r="J162" s="29"/>
      <c r="K162" s="29"/>
      <c r="L162" s="10"/>
      <c r="M162" s="9"/>
      <c r="N162" s="9"/>
      <c r="O162" s="9"/>
      <c r="P162" s="9"/>
      <c r="Q162" s="9"/>
      <c r="R162" s="9"/>
      <c r="S162" s="29"/>
    </row>
    <row r="163" spans="1:19" ht="31.5" customHeight="1">
      <c r="A163" s="16"/>
      <c r="B163" s="16"/>
      <c r="C163" s="2" t="s">
        <v>364</v>
      </c>
      <c r="D163" s="1" t="s">
        <v>16</v>
      </c>
      <c r="E163" s="71" t="s">
        <v>81</v>
      </c>
      <c r="F163" s="72" t="s">
        <v>82</v>
      </c>
      <c r="G163" s="78"/>
      <c r="H163" s="183"/>
      <c r="I163" s="8"/>
      <c r="J163" s="9"/>
      <c r="K163" s="9"/>
      <c r="L163" s="10"/>
      <c r="M163" s="9"/>
      <c r="N163" s="9"/>
      <c r="O163" s="9"/>
      <c r="P163" s="9"/>
      <c r="Q163" s="9"/>
      <c r="R163" s="9"/>
      <c r="S163" s="29"/>
    </row>
    <row r="164" spans="1:19" ht="31.5" customHeight="1">
      <c r="A164" s="16"/>
      <c r="B164" s="16"/>
      <c r="C164" s="2"/>
      <c r="D164" s="1" t="s">
        <v>93</v>
      </c>
      <c r="E164" s="71"/>
      <c r="F164" s="72"/>
      <c r="G164" s="72"/>
      <c r="H164" s="16"/>
      <c r="I164" s="8"/>
      <c r="J164" s="22"/>
      <c r="M164" s="73" t="s">
        <v>94</v>
      </c>
      <c r="R164" s="73" t="s">
        <v>95</v>
      </c>
      <c r="S164" s="29"/>
    </row>
    <row r="165" spans="1:19" s="102" customFormat="1" ht="31.5" customHeight="1">
      <c r="A165" s="139" t="s">
        <v>227</v>
      </c>
      <c r="B165" s="139">
        <v>22</v>
      </c>
      <c r="C165" s="139" t="s">
        <v>376</v>
      </c>
      <c r="D165" s="140">
        <v>33792.5</v>
      </c>
      <c r="E165" s="93" t="s">
        <v>228</v>
      </c>
      <c r="F165" s="95">
        <v>24614.8</v>
      </c>
      <c r="G165" s="96">
        <f>D165-F165</f>
        <v>9177.7</v>
      </c>
      <c r="H165" s="141" t="s">
        <v>388</v>
      </c>
      <c r="I165" s="142" t="s">
        <v>114</v>
      </c>
      <c r="J165" s="142" t="s">
        <v>229</v>
      </c>
      <c r="K165" s="143" t="s">
        <v>230</v>
      </c>
      <c r="L165" s="144">
        <v>21</v>
      </c>
      <c r="M165" s="101">
        <f>1529.55*14</f>
        <v>21413.7</v>
      </c>
      <c r="N165" s="101">
        <f>(255.09*14)+12*(176.87+103.5)</f>
        <v>6935.700000000001</v>
      </c>
      <c r="O165" s="101"/>
      <c r="P165" s="101"/>
      <c r="Q165" s="101"/>
      <c r="R165" s="101">
        <f>SUM(M165:Q165)</f>
        <v>28349.4</v>
      </c>
      <c r="S165" s="29">
        <f>D165-R165</f>
        <v>5443.0999999999985</v>
      </c>
    </row>
    <row r="166" spans="1:19" s="102" customFormat="1" ht="31.5" customHeight="1">
      <c r="A166" s="83"/>
      <c r="B166" s="83"/>
      <c r="C166" s="85"/>
      <c r="D166" s="84"/>
      <c r="E166" s="86"/>
      <c r="F166" s="87"/>
      <c r="G166" s="84"/>
      <c r="H166" s="88"/>
      <c r="I166" s="88"/>
      <c r="J166" s="89"/>
      <c r="K166" s="88"/>
      <c r="L166" s="90"/>
      <c r="M166" s="90"/>
      <c r="N166" s="90"/>
      <c r="O166" s="90"/>
      <c r="P166" s="90"/>
      <c r="Q166" s="90"/>
      <c r="R166" s="91"/>
      <c r="S166" s="29"/>
    </row>
    <row r="167" spans="1:19" ht="31.5" customHeight="1">
      <c r="A167" s="72" t="s">
        <v>227</v>
      </c>
      <c r="B167" s="72">
        <v>22</v>
      </c>
      <c r="C167" s="72" t="s">
        <v>378</v>
      </c>
      <c r="D167" s="145">
        <v>32591.44</v>
      </c>
      <c r="E167" s="116" t="s">
        <v>228</v>
      </c>
      <c r="F167" s="118">
        <v>24614.8</v>
      </c>
      <c r="G167" s="78">
        <f>D167-F167</f>
        <v>7976.639999999999</v>
      </c>
      <c r="H167" s="141" t="s">
        <v>357</v>
      </c>
      <c r="I167" s="80" t="s">
        <v>104</v>
      </c>
      <c r="J167" s="80" t="s">
        <v>229</v>
      </c>
      <c r="K167" s="81" t="s">
        <v>231</v>
      </c>
      <c r="L167" s="80">
        <v>18</v>
      </c>
      <c r="M167" s="28">
        <v>20437.2</v>
      </c>
      <c r="N167" s="28">
        <f>268.8+159.88+404.18</f>
        <v>832.86</v>
      </c>
      <c r="O167" s="28">
        <f>3329.9+3376.8</f>
        <v>6706.700000000001</v>
      </c>
      <c r="P167" s="28"/>
      <c r="Q167" s="28"/>
      <c r="R167" s="28">
        <f>M167+N167+O167+P167+Q167</f>
        <v>27976.760000000002</v>
      </c>
      <c r="S167" s="29">
        <f>D167-R167</f>
        <v>4614.679999999997</v>
      </c>
    </row>
    <row r="168" spans="1:19" ht="31.5" customHeight="1">
      <c r="A168" s="72" t="s">
        <v>227</v>
      </c>
      <c r="B168" s="72">
        <v>22</v>
      </c>
      <c r="C168" s="72" t="s">
        <v>378</v>
      </c>
      <c r="D168" s="145">
        <v>32591.44</v>
      </c>
      <c r="E168" s="116" t="s">
        <v>228</v>
      </c>
      <c r="F168" s="118">
        <v>24614.8</v>
      </c>
      <c r="G168" s="78">
        <f>D168-F168</f>
        <v>7976.639999999999</v>
      </c>
      <c r="H168" s="141" t="s">
        <v>357</v>
      </c>
      <c r="I168" s="80" t="s">
        <v>104</v>
      </c>
      <c r="J168" s="80" t="s">
        <v>229</v>
      </c>
      <c r="K168" s="81" t="s">
        <v>232</v>
      </c>
      <c r="L168" s="80">
        <v>3</v>
      </c>
      <c r="M168" s="28">
        <v>20437.2</v>
      </c>
      <c r="N168" s="28">
        <f>268.8+159.88+404.18</f>
        <v>832.86</v>
      </c>
      <c r="O168" s="28">
        <f>3329.9+3376.8</f>
        <v>6706.700000000001</v>
      </c>
      <c r="P168" s="28"/>
      <c r="Q168" s="28"/>
      <c r="R168" s="28">
        <f>M168+N168+O168+P168+Q168</f>
        <v>27976.760000000002</v>
      </c>
      <c r="S168" s="29">
        <f>D168-R168</f>
        <v>4614.679999999997</v>
      </c>
    </row>
    <row r="169" spans="1:19" ht="31.5" customHeight="1">
      <c r="A169" s="83"/>
      <c r="B169" s="83"/>
      <c r="C169" s="85"/>
      <c r="D169" s="84"/>
      <c r="E169" s="86"/>
      <c r="F169" s="87"/>
      <c r="G169" s="84"/>
      <c r="H169" s="88"/>
      <c r="I169" s="88"/>
      <c r="J169" s="89"/>
      <c r="K169" s="88"/>
      <c r="L169" s="90"/>
      <c r="M169" s="90"/>
      <c r="N169" s="90"/>
      <c r="O169" s="90"/>
      <c r="P169" s="90"/>
      <c r="Q169" s="90"/>
      <c r="R169" s="91"/>
      <c r="S169" s="29"/>
    </row>
    <row r="170" spans="1:19" s="18" customFormat="1" ht="31.5" customHeight="1">
      <c r="A170" s="72" t="s">
        <v>227</v>
      </c>
      <c r="B170" s="72">
        <v>21</v>
      </c>
      <c r="C170" s="164" t="s">
        <v>379</v>
      </c>
      <c r="D170" s="71">
        <v>31491.6</v>
      </c>
      <c r="E170" s="116" t="s">
        <v>228</v>
      </c>
      <c r="F170" s="71">
        <v>24614.8</v>
      </c>
      <c r="G170" s="78">
        <f>D170-F170</f>
        <v>6876.799999999999</v>
      </c>
      <c r="H170" s="79" t="s">
        <v>233</v>
      </c>
      <c r="I170" s="17"/>
      <c r="L170" s="19"/>
      <c r="M170" s="118">
        <v>24614.8</v>
      </c>
      <c r="R170" s="71">
        <v>31491.6</v>
      </c>
      <c r="S170" s="29"/>
    </row>
    <row r="171" spans="1:19" s="18" customFormat="1" ht="31.5" customHeight="1">
      <c r="A171" s="83"/>
      <c r="B171" s="83"/>
      <c r="C171" s="85"/>
      <c r="D171" s="84"/>
      <c r="E171" s="86"/>
      <c r="F171" s="87"/>
      <c r="G171" s="84"/>
      <c r="H171" s="88"/>
      <c r="I171" s="88"/>
      <c r="J171" s="89"/>
      <c r="K171" s="88"/>
      <c r="L171" s="90"/>
      <c r="M171" s="90"/>
      <c r="N171" s="90"/>
      <c r="O171" s="90"/>
      <c r="P171" s="90"/>
      <c r="Q171" s="90"/>
      <c r="R171" s="91"/>
      <c r="S171" s="29"/>
    </row>
    <row r="172" spans="1:19" s="18" customFormat="1" ht="31.5" customHeight="1">
      <c r="A172" s="72" t="s">
        <v>227</v>
      </c>
      <c r="B172" s="72">
        <v>18</v>
      </c>
      <c r="C172" s="72" t="s">
        <v>380</v>
      </c>
      <c r="D172" s="145">
        <v>29922.48</v>
      </c>
      <c r="E172" s="116" t="s">
        <v>228</v>
      </c>
      <c r="F172" s="118">
        <v>24614.8</v>
      </c>
      <c r="G172" s="78">
        <f>D172-F172</f>
        <v>5307.68</v>
      </c>
      <c r="H172" s="141" t="s">
        <v>234</v>
      </c>
      <c r="I172" s="80" t="s">
        <v>128</v>
      </c>
      <c r="J172" s="80" t="s">
        <v>235</v>
      </c>
      <c r="K172" s="146" t="s">
        <v>236</v>
      </c>
      <c r="L172" s="119">
        <v>1</v>
      </c>
      <c r="M172" s="121">
        <f>1033.62*14</f>
        <v>14470.679999999998</v>
      </c>
      <c r="N172" s="121">
        <f>442.13*14+44.85*14+29.23*14</f>
        <v>7226.94</v>
      </c>
      <c r="O172" s="121">
        <f>529.41*14</f>
        <v>7411.74</v>
      </c>
      <c r="P172" s="121"/>
      <c r="Q172" s="121"/>
      <c r="R172" s="121">
        <f>M172+N172+O172+P172+Q172</f>
        <v>29109.36</v>
      </c>
      <c r="S172" s="29">
        <f>D172-R172</f>
        <v>813.119999999999</v>
      </c>
    </row>
    <row r="173" spans="1:19" s="102" customFormat="1" ht="31.5" customHeight="1">
      <c r="A173" s="139" t="s">
        <v>227</v>
      </c>
      <c r="B173" s="139">
        <v>18</v>
      </c>
      <c r="C173" s="139" t="s">
        <v>380</v>
      </c>
      <c r="D173" s="140">
        <v>29922.48</v>
      </c>
      <c r="E173" s="93" t="s">
        <v>228</v>
      </c>
      <c r="F173" s="95">
        <v>24614.8</v>
      </c>
      <c r="G173" s="96">
        <f>D173-F173</f>
        <v>5307.68</v>
      </c>
      <c r="H173" s="141" t="s">
        <v>234</v>
      </c>
      <c r="I173" s="100" t="s">
        <v>114</v>
      </c>
      <c r="J173" s="100" t="s">
        <v>229</v>
      </c>
      <c r="K173" s="114" t="s">
        <v>237</v>
      </c>
      <c r="L173" s="100">
        <v>2</v>
      </c>
      <c r="M173" s="101">
        <f>1405.19*14</f>
        <v>19672.66</v>
      </c>
      <c r="N173" s="101">
        <f>(464.21*14)+12*(88.43+53.03+55.83+103.5)</f>
        <v>10108.42</v>
      </c>
      <c r="O173" s="101"/>
      <c r="P173" s="101"/>
      <c r="Q173" s="101"/>
      <c r="R173" s="101">
        <f>SUM(M173:Q173)</f>
        <v>29781.08</v>
      </c>
      <c r="S173" s="29">
        <f>D173-R173</f>
        <v>141.39999999999782</v>
      </c>
    </row>
    <row r="174" spans="1:19" s="102" customFormat="1" ht="31.5" customHeight="1">
      <c r="A174" s="83"/>
      <c r="B174" s="83"/>
      <c r="C174" s="85"/>
      <c r="D174" s="84"/>
      <c r="E174" s="86"/>
      <c r="F174" s="87"/>
      <c r="G174" s="84"/>
      <c r="H174" s="88"/>
      <c r="I174" s="88"/>
      <c r="J174" s="89"/>
      <c r="K174" s="88"/>
      <c r="L174" s="90"/>
      <c r="M174" s="90"/>
      <c r="N174" s="90"/>
      <c r="O174" s="90"/>
      <c r="P174" s="90"/>
      <c r="Q174" s="90"/>
      <c r="R174" s="91"/>
      <c r="S174" s="29"/>
    </row>
    <row r="175" spans="1:19" s="102" customFormat="1" ht="31.5" customHeight="1">
      <c r="A175" s="92" t="s">
        <v>227</v>
      </c>
      <c r="B175" s="92">
        <v>22</v>
      </c>
      <c r="C175" s="92" t="s">
        <v>246</v>
      </c>
      <c r="D175" s="94">
        <v>28574.98</v>
      </c>
      <c r="E175" s="93" t="s">
        <v>228</v>
      </c>
      <c r="F175" s="95">
        <v>24614.8</v>
      </c>
      <c r="G175" s="96">
        <f aca="true" t="shared" si="19" ref="G175:G182">D175-F175</f>
        <v>3960.1800000000003</v>
      </c>
      <c r="H175" s="97" t="s">
        <v>238</v>
      </c>
      <c r="I175" s="100" t="s">
        <v>114</v>
      </c>
      <c r="J175" s="100" t="s">
        <v>229</v>
      </c>
      <c r="K175" s="147" t="s">
        <v>239</v>
      </c>
      <c r="L175" s="100">
        <v>31</v>
      </c>
      <c r="M175" s="101">
        <f>1529.55*14</f>
        <v>21413.7</v>
      </c>
      <c r="N175" s="101">
        <f>12*(194.28+9.31+9.8+103.5)</f>
        <v>3802.68</v>
      </c>
      <c r="O175" s="101"/>
      <c r="P175" s="101"/>
      <c r="Q175" s="101"/>
      <c r="R175" s="169">
        <f>SUM(M175:Q175)</f>
        <v>25216.38</v>
      </c>
      <c r="S175" s="150">
        <f aca="true" t="shared" si="20" ref="S175:S182">D175-R175</f>
        <v>3358.5999999999985</v>
      </c>
    </row>
    <row r="176" spans="1:19" s="102" customFormat="1" ht="31.5" customHeight="1">
      <c r="A176" s="92" t="s">
        <v>227</v>
      </c>
      <c r="B176" s="92">
        <v>22</v>
      </c>
      <c r="C176" s="92" t="s">
        <v>246</v>
      </c>
      <c r="D176" s="94">
        <v>28574.98</v>
      </c>
      <c r="E176" s="93" t="s">
        <v>228</v>
      </c>
      <c r="F176" s="95">
        <v>24614.8</v>
      </c>
      <c r="G176" s="96">
        <f t="shared" si="19"/>
        <v>3960.1800000000003</v>
      </c>
      <c r="H176" s="97" t="s">
        <v>238</v>
      </c>
      <c r="I176" s="100" t="s">
        <v>117</v>
      </c>
      <c r="J176" s="100" t="s">
        <v>229</v>
      </c>
      <c r="K176" s="114" t="s">
        <v>242</v>
      </c>
      <c r="L176" s="100">
        <f>123+17.48</f>
        <v>140.48</v>
      </c>
      <c r="M176" s="101">
        <f>1877.51*14</f>
        <v>26285.14</v>
      </c>
      <c r="N176" s="101">
        <f>53.45*12+9.48*14+56.16*12</f>
        <v>1448.04</v>
      </c>
      <c r="O176" s="101">
        <f>71.25*14</f>
        <v>997.5</v>
      </c>
      <c r="P176" s="101"/>
      <c r="Q176" s="101"/>
      <c r="R176" s="101">
        <f aca="true" t="shared" si="21" ref="R176:R181">M176+N176+O176+P176+Q176</f>
        <v>28730.68</v>
      </c>
      <c r="S176" s="29">
        <f t="shared" si="20"/>
        <v>-155.70000000000073</v>
      </c>
    </row>
    <row r="177" spans="1:19" s="102" customFormat="1" ht="31.5" customHeight="1">
      <c r="A177" s="92" t="s">
        <v>227</v>
      </c>
      <c r="B177" s="92">
        <v>22</v>
      </c>
      <c r="C177" s="92" t="s">
        <v>246</v>
      </c>
      <c r="D177" s="94">
        <v>28574.98</v>
      </c>
      <c r="E177" s="93" t="s">
        <v>243</v>
      </c>
      <c r="F177" s="95">
        <v>24614.8</v>
      </c>
      <c r="G177" s="96">
        <f t="shared" si="19"/>
        <v>3960.1800000000003</v>
      </c>
      <c r="H177" s="97" t="s">
        <v>238</v>
      </c>
      <c r="I177" s="100" t="s">
        <v>128</v>
      </c>
      <c r="J177" s="100" t="s">
        <v>235</v>
      </c>
      <c r="K177" s="175" t="s">
        <v>244</v>
      </c>
      <c r="L177" s="100">
        <v>2</v>
      </c>
      <c r="M177" s="101">
        <f>1033.62*14</f>
        <v>14470.679999999998</v>
      </c>
      <c r="N177" s="101">
        <f>369.66*14+44.85*14+32.92*14</f>
        <v>6264.02</v>
      </c>
      <c r="O177" s="101">
        <f>384.04*14</f>
        <v>5376.56</v>
      </c>
      <c r="P177" s="101"/>
      <c r="Q177" s="101"/>
      <c r="R177" s="169">
        <f t="shared" si="21"/>
        <v>26111.26</v>
      </c>
      <c r="S177" s="150">
        <f t="shared" si="20"/>
        <v>2463.720000000001</v>
      </c>
    </row>
    <row r="178" spans="1:19" ht="31.5" customHeight="1">
      <c r="A178" s="76" t="s">
        <v>227</v>
      </c>
      <c r="B178" s="76">
        <v>22</v>
      </c>
      <c r="C178" s="115" t="s">
        <v>246</v>
      </c>
      <c r="D178" s="117">
        <v>28574.98</v>
      </c>
      <c r="E178" s="116" t="s">
        <v>228</v>
      </c>
      <c r="F178" s="118">
        <v>24614.8</v>
      </c>
      <c r="G178" s="78">
        <f t="shared" si="19"/>
        <v>3960.1800000000003</v>
      </c>
      <c r="H178" s="97" t="s">
        <v>238</v>
      </c>
      <c r="I178" s="80" t="s">
        <v>104</v>
      </c>
      <c r="J178" s="80" t="s">
        <v>229</v>
      </c>
      <c r="K178" s="122" t="s">
        <v>245</v>
      </c>
      <c r="L178" s="80">
        <v>4</v>
      </c>
      <c r="M178" s="28">
        <v>19037.62</v>
      </c>
      <c r="N178" s="28">
        <f>301.28+143.08+360.64</f>
        <v>805</v>
      </c>
      <c r="O178" s="28">
        <f>3250.8+2255.4</f>
        <v>5506.200000000001</v>
      </c>
      <c r="P178" s="28"/>
      <c r="Q178" s="28"/>
      <c r="R178" s="28">
        <f t="shared" si="21"/>
        <v>25348.82</v>
      </c>
      <c r="S178" s="29">
        <f t="shared" si="20"/>
        <v>3226.16</v>
      </c>
    </row>
    <row r="179" spans="1:19" ht="31.5" customHeight="1">
      <c r="A179" s="76" t="s">
        <v>227</v>
      </c>
      <c r="B179" s="76">
        <v>22</v>
      </c>
      <c r="C179" s="115" t="s">
        <v>246</v>
      </c>
      <c r="D179" s="117">
        <v>28574.98</v>
      </c>
      <c r="E179" s="116" t="s">
        <v>228</v>
      </c>
      <c r="F179" s="118">
        <v>24614.8</v>
      </c>
      <c r="G179" s="78">
        <f t="shared" si="19"/>
        <v>3960.1800000000003</v>
      </c>
      <c r="H179" s="97" t="s">
        <v>238</v>
      </c>
      <c r="I179" s="80" t="s">
        <v>117</v>
      </c>
      <c r="J179" s="80" t="s">
        <v>229</v>
      </c>
      <c r="K179" s="81" t="s">
        <v>246</v>
      </c>
      <c r="L179" s="80">
        <v>20</v>
      </c>
      <c r="M179" s="28">
        <f>1485.84*14</f>
        <v>20801.76</v>
      </c>
      <c r="N179" s="28">
        <f>53.45*12+22.79*14</f>
        <v>960.46</v>
      </c>
      <c r="O179" s="28">
        <f>175.81*14</f>
        <v>2461.34</v>
      </c>
      <c r="P179" s="28"/>
      <c r="Q179" s="28"/>
      <c r="R179" s="28">
        <f t="shared" si="21"/>
        <v>24223.559999999998</v>
      </c>
      <c r="S179" s="29">
        <f t="shared" si="20"/>
        <v>4351.420000000002</v>
      </c>
    </row>
    <row r="180" spans="1:19" ht="31.5" customHeight="1">
      <c r="A180" s="76" t="s">
        <v>227</v>
      </c>
      <c r="B180" s="76">
        <v>22</v>
      </c>
      <c r="C180" s="115" t="s">
        <v>246</v>
      </c>
      <c r="D180" s="117">
        <v>28574.98</v>
      </c>
      <c r="E180" s="116" t="s">
        <v>247</v>
      </c>
      <c r="F180" s="118">
        <v>24614.8</v>
      </c>
      <c r="G180" s="78">
        <f t="shared" si="19"/>
        <v>3960.1800000000003</v>
      </c>
      <c r="H180" s="97" t="s">
        <v>238</v>
      </c>
      <c r="I180" s="80" t="s">
        <v>117</v>
      </c>
      <c r="J180" s="80" t="s">
        <v>248</v>
      </c>
      <c r="K180" s="108" t="s">
        <v>249</v>
      </c>
      <c r="L180" s="80">
        <v>26</v>
      </c>
      <c r="M180" s="28">
        <f>1588.15*14</f>
        <v>22234.100000000002</v>
      </c>
      <c r="N180" s="28">
        <f>53.45*12+9.48*14+17.73*12</f>
        <v>986.8800000000001</v>
      </c>
      <c r="O180" s="28">
        <f>352.22*14</f>
        <v>4931.08</v>
      </c>
      <c r="P180" s="28"/>
      <c r="Q180" s="28"/>
      <c r="R180" s="28">
        <f t="shared" si="21"/>
        <v>28152.060000000005</v>
      </c>
      <c r="S180" s="29">
        <f t="shared" si="20"/>
        <v>422.9199999999946</v>
      </c>
    </row>
    <row r="181" spans="1:19" ht="31.5" customHeight="1">
      <c r="A181" s="76" t="s">
        <v>227</v>
      </c>
      <c r="B181" s="76">
        <v>22</v>
      </c>
      <c r="C181" s="115" t="s">
        <v>246</v>
      </c>
      <c r="D181" s="117">
        <v>28574.98</v>
      </c>
      <c r="E181" s="116" t="s">
        <v>247</v>
      </c>
      <c r="F181" s="118">
        <v>24614.8</v>
      </c>
      <c r="G181" s="78">
        <f t="shared" si="19"/>
        <v>3960.1800000000003</v>
      </c>
      <c r="H181" s="97" t="s">
        <v>238</v>
      </c>
      <c r="I181" s="80" t="s">
        <v>117</v>
      </c>
      <c r="J181" s="80" t="s">
        <v>229</v>
      </c>
      <c r="K181" s="108" t="s">
        <v>250</v>
      </c>
      <c r="L181" s="80">
        <v>1</v>
      </c>
      <c r="M181" s="28">
        <f>1497.68*14</f>
        <v>20967.52</v>
      </c>
      <c r="N181" s="28">
        <f>53.45*12+22.79*14+56.14*12</f>
        <v>1634.14</v>
      </c>
      <c r="O181" s="28">
        <f>134.61*14</f>
        <v>1884.5400000000002</v>
      </c>
      <c r="P181" s="28"/>
      <c r="Q181" s="28"/>
      <c r="R181" s="28">
        <f t="shared" si="21"/>
        <v>24486.2</v>
      </c>
      <c r="S181" s="29">
        <f t="shared" si="20"/>
        <v>4088.779999999999</v>
      </c>
    </row>
    <row r="182" spans="1:19" s="102" customFormat="1" ht="31.5" customHeight="1">
      <c r="A182" s="92" t="s">
        <v>227</v>
      </c>
      <c r="B182" s="76">
        <v>22</v>
      </c>
      <c r="C182" s="115" t="s">
        <v>246</v>
      </c>
      <c r="D182" s="117">
        <v>28574.98</v>
      </c>
      <c r="E182" s="93" t="s">
        <v>228</v>
      </c>
      <c r="F182" s="95">
        <v>24614.8</v>
      </c>
      <c r="G182" s="96">
        <f t="shared" si="19"/>
        <v>3960.1800000000003</v>
      </c>
      <c r="H182" s="148" t="s">
        <v>267</v>
      </c>
      <c r="I182" s="144" t="s">
        <v>114</v>
      </c>
      <c r="J182" s="144" t="s">
        <v>229</v>
      </c>
      <c r="K182" s="149" t="s">
        <v>268</v>
      </c>
      <c r="L182" s="144">
        <v>1</v>
      </c>
      <c r="M182" s="150">
        <f>1791.21*14</f>
        <v>25076.940000000002</v>
      </c>
      <c r="N182" s="150">
        <f>103.5*12</f>
        <v>1242</v>
      </c>
      <c r="O182" s="150"/>
      <c r="P182" s="150"/>
      <c r="Q182" s="150"/>
      <c r="R182" s="101">
        <f>SUM(M182:Q182)</f>
        <v>26318.940000000002</v>
      </c>
      <c r="S182" s="29">
        <f t="shared" si="20"/>
        <v>2256.0399999999972</v>
      </c>
    </row>
    <row r="183" spans="1:19" ht="31.5" customHeight="1">
      <c r="A183" s="83"/>
      <c r="B183" s="83"/>
      <c r="C183" s="85"/>
      <c r="D183" s="84"/>
      <c r="E183" s="86"/>
      <c r="F183" s="87"/>
      <c r="G183" s="84"/>
      <c r="H183" s="88"/>
      <c r="I183" s="88"/>
      <c r="J183" s="89"/>
      <c r="K183" s="88"/>
      <c r="L183" s="90"/>
      <c r="M183" s="90"/>
      <c r="N183" s="90"/>
      <c r="O183" s="90"/>
      <c r="P183" s="90"/>
      <c r="Q183" s="90"/>
      <c r="R183" s="91"/>
      <c r="S183" s="29"/>
    </row>
    <row r="184" spans="1:19" s="102" customFormat="1" ht="31.5" customHeight="1">
      <c r="A184" s="92" t="s">
        <v>227</v>
      </c>
      <c r="B184" s="92">
        <v>18</v>
      </c>
      <c r="C184" s="92" t="s">
        <v>299</v>
      </c>
      <c r="D184" s="94">
        <v>27653.08</v>
      </c>
      <c r="E184" s="93" t="s">
        <v>228</v>
      </c>
      <c r="F184" s="95">
        <v>24614.8</v>
      </c>
      <c r="G184" s="96">
        <f aca="true" t="shared" si="22" ref="G184:G200">D184-F184</f>
        <v>3038.2800000000025</v>
      </c>
      <c r="H184" s="97" t="s">
        <v>251</v>
      </c>
      <c r="I184" s="100" t="s">
        <v>114</v>
      </c>
      <c r="J184" s="100" t="s">
        <v>229</v>
      </c>
      <c r="K184" s="114" t="s">
        <v>252</v>
      </c>
      <c r="L184" s="100">
        <v>1</v>
      </c>
      <c r="M184" s="101">
        <f>1405.19*14</f>
        <v>19672.66</v>
      </c>
      <c r="N184" s="101">
        <f>(191.48*14)+12*(92.86+50.88+53.57+103.5)</f>
        <v>6290.4400000000005</v>
      </c>
      <c r="O184" s="101"/>
      <c r="P184" s="101"/>
      <c r="Q184" s="101"/>
      <c r="R184" s="101">
        <f>SUM(M184:Q184)</f>
        <v>25963.1</v>
      </c>
      <c r="S184" s="29">
        <f aca="true" t="shared" si="23" ref="S184:S200">D184-R184</f>
        <v>1689.9800000000032</v>
      </c>
    </row>
    <row r="185" spans="1:19" s="102" customFormat="1" ht="31.5" customHeight="1">
      <c r="A185" s="92" t="s">
        <v>227</v>
      </c>
      <c r="B185" s="92">
        <v>18</v>
      </c>
      <c r="C185" s="92" t="s">
        <v>299</v>
      </c>
      <c r="D185" s="94">
        <v>27653.08</v>
      </c>
      <c r="E185" s="93" t="s">
        <v>228</v>
      </c>
      <c r="F185" s="95">
        <v>24614.8</v>
      </c>
      <c r="G185" s="96">
        <f t="shared" si="22"/>
        <v>3038.2800000000025</v>
      </c>
      <c r="H185" s="97" t="s">
        <v>251</v>
      </c>
      <c r="I185" s="100" t="s">
        <v>114</v>
      </c>
      <c r="J185" s="100" t="s">
        <v>229</v>
      </c>
      <c r="K185" s="147" t="s">
        <v>269</v>
      </c>
      <c r="L185" s="100">
        <v>6</v>
      </c>
      <c r="M185" s="101">
        <f>1405.18*14</f>
        <v>19672.52</v>
      </c>
      <c r="N185" s="101">
        <f>(87.03*14)+12*(88.43+53.03+55.83+103.5)</f>
        <v>4827.900000000001</v>
      </c>
      <c r="O185" s="101"/>
      <c r="P185" s="101"/>
      <c r="Q185" s="101"/>
      <c r="R185" s="101">
        <f>SUM(M185:Q185)</f>
        <v>24500.420000000002</v>
      </c>
      <c r="S185" s="29">
        <f t="shared" si="23"/>
        <v>3152.66</v>
      </c>
    </row>
    <row r="186" spans="1:19" s="102" customFormat="1" ht="31.5" customHeight="1">
      <c r="A186" s="92" t="s">
        <v>227</v>
      </c>
      <c r="B186" s="92">
        <v>18</v>
      </c>
      <c r="C186" s="92" t="s">
        <v>299</v>
      </c>
      <c r="D186" s="94">
        <v>27653.08</v>
      </c>
      <c r="E186" s="93" t="s">
        <v>228</v>
      </c>
      <c r="F186" s="95">
        <v>24614.8</v>
      </c>
      <c r="G186" s="96">
        <f t="shared" si="22"/>
        <v>3038.2800000000025</v>
      </c>
      <c r="H186" s="97" t="s">
        <v>251</v>
      </c>
      <c r="I186" s="100" t="s">
        <v>114</v>
      </c>
      <c r="J186" s="100" t="s">
        <v>229</v>
      </c>
      <c r="K186" s="147" t="s">
        <v>241</v>
      </c>
      <c r="L186" s="100">
        <v>5</v>
      </c>
      <c r="M186" s="101">
        <f>1405.18*14</f>
        <v>19672.52</v>
      </c>
      <c r="N186" s="101">
        <f>12*(93.66+99.62+104.89+103.5)</f>
        <v>4820.04</v>
      </c>
      <c r="O186" s="101"/>
      <c r="P186" s="101"/>
      <c r="Q186" s="101"/>
      <c r="R186" s="101">
        <f>SUM(M186:Q186)</f>
        <v>24492.56</v>
      </c>
      <c r="S186" s="150">
        <f t="shared" si="23"/>
        <v>3160.5200000000004</v>
      </c>
    </row>
    <row r="187" spans="1:19" s="102" customFormat="1" ht="31.5" customHeight="1">
      <c r="A187" s="92" t="s">
        <v>227</v>
      </c>
      <c r="B187" s="92">
        <v>18</v>
      </c>
      <c r="C187" s="92" t="s">
        <v>299</v>
      </c>
      <c r="D187" s="94">
        <v>27653.08</v>
      </c>
      <c r="E187" s="93" t="s">
        <v>228</v>
      </c>
      <c r="F187" s="95">
        <v>24614.8</v>
      </c>
      <c r="G187" s="96">
        <f t="shared" si="22"/>
        <v>3038.2800000000025</v>
      </c>
      <c r="H187" s="97" t="s">
        <v>251</v>
      </c>
      <c r="I187" s="100" t="s">
        <v>114</v>
      </c>
      <c r="J187" s="100" t="s">
        <v>229</v>
      </c>
      <c r="K187" s="147" t="s">
        <v>240</v>
      </c>
      <c r="L187" s="100">
        <v>3</v>
      </c>
      <c r="M187" s="101">
        <f>1405.18*14</f>
        <v>19672.52</v>
      </c>
      <c r="N187" s="101">
        <f>(255.09*14)+12*(110.55+103.5)</f>
        <v>6139.860000000001</v>
      </c>
      <c r="O187" s="101"/>
      <c r="P187" s="101"/>
      <c r="Q187" s="101"/>
      <c r="R187" s="101">
        <f>SUM(M187:Q187)</f>
        <v>25812.38</v>
      </c>
      <c r="S187" s="150">
        <f t="shared" si="23"/>
        <v>1840.7000000000007</v>
      </c>
    </row>
    <row r="188" spans="1:19" s="102" customFormat="1" ht="31.5" customHeight="1">
      <c r="A188" s="92" t="s">
        <v>227</v>
      </c>
      <c r="B188" s="92">
        <v>18</v>
      </c>
      <c r="C188" s="92" t="s">
        <v>299</v>
      </c>
      <c r="D188" s="94">
        <v>27653.08</v>
      </c>
      <c r="E188" s="93" t="s">
        <v>228</v>
      </c>
      <c r="F188" s="95">
        <v>24614.8</v>
      </c>
      <c r="G188" s="96">
        <f t="shared" si="22"/>
        <v>3038.2800000000025</v>
      </c>
      <c r="H188" s="97" t="s">
        <v>251</v>
      </c>
      <c r="I188" s="100" t="s">
        <v>114</v>
      </c>
      <c r="J188" s="100" t="s">
        <v>229</v>
      </c>
      <c r="K188" s="147" t="s">
        <v>241</v>
      </c>
      <c r="L188" s="100">
        <v>1</v>
      </c>
      <c r="M188" s="101">
        <f>1405.18*14</f>
        <v>19672.52</v>
      </c>
      <c r="N188" s="101">
        <f>R188-M188</f>
        <v>5258.739999999998</v>
      </c>
      <c r="O188" s="101"/>
      <c r="P188" s="101"/>
      <c r="Q188" s="101"/>
      <c r="R188" s="101">
        <v>24931.26</v>
      </c>
      <c r="S188" s="150">
        <f t="shared" si="23"/>
        <v>2721.8200000000033</v>
      </c>
    </row>
    <row r="189" spans="1:19" ht="31.5" customHeight="1">
      <c r="A189" s="76" t="s">
        <v>227</v>
      </c>
      <c r="B189" s="76">
        <v>18</v>
      </c>
      <c r="C189" s="115" t="s">
        <v>299</v>
      </c>
      <c r="D189" s="117">
        <v>27653.08</v>
      </c>
      <c r="E189" s="116" t="s">
        <v>228</v>
      </c>
      <c r="F189" s="118">
        <v>24614.8</v>
      </c>
      <c r="G189" s="78">
        <f t="shared" si="22"/>
        <v>3038.2800000000025</v>
      </c>
      <c r="H189" s="97" t="s">
        <v>251</v>
      </c>
      <c r="I189" s="80" t="s">
        <v>104</v>
      </c>
      <c r="J189" s="80" t="s">
        <v>229</v>
      </c>
      <c r="K189" s="122" t="s">
        <v>253</v>
      </c>
      <c r="L189" s="80">
        <v>1</v>
      </c>
      <c r="M189" s="28">
        <v>17323.88</v>
      </c>
      <c r="N189" s="28">
        <f>346.64+124.88+313.46+993.3+1045.8</f>
        <v>2824.08</v>
      </c>
      <c r="O189" s="28">
        <f>3170.02+1280.58+2811.9</f>
        <v>7262.5</v>
      </c>
      <c r="P189" s="28"/>
      <c r="Q189" s="28"/>
      <c r="R189" s="28">
        <f aca="true" t="shared" si="24" ref="R189:R198">M189+N189+O189+P189+Q189</f>
        <v>27410.46</v>
      </c>
      <c r="S189" s="29">
        <f t="shared" si="23"/>
        <v>242.62000000000262</v>
      </c>
    </row>
    <row r="190" spans="1:19" ht="31.5" customHeight="1">
      <c r="A190" s="76" t="s">
        <v>227</v>
      </c>
      <c r="B190" s="76">
        <v>18</v>
      </c>
      <c r="C190" s="115" t="s">
        <v>299</v>
      </c>
      <c r="D190" s="117">
        <v>27653.08</v>
      </c>
      <c r="E190" s="116" t="s">
        <v>177</v>
      </c>
      <c r="F190" s="118">
        <v>24614.8</v>
      </c>
      <c r="G190" s="78">
        <f t="shared" si="22"/>
        <v>3038.2800000000025</v>
      </c>
      <c r="H190" s="97" t="s">
        <v>251</v>
      </c>
      <c r="I190" s="119" t="s">
        <v>100</v>
      </c>
      <c r="J190" s="80" t="s">
        <v>179</v>
      </c>
      <c r="K190" s="122" t="s">
        <v>254</v>
      </c>
      <c r="L190" s="80">
        <v>7</v>
      </c>
      <c r="M190" s="121">
        <v>32403.7</v>
      </c>
      <c r="N190" s="28">
        <v>487.06</v>
      </c>
      <c r="O190" s="28"/>
      <c r="P190" s="28"/>
      <c r="Q190" s="28">
        <v>321.36</v>
      </c>
      <c r="R190" s="28">
        <f t="shared" si="24"/>
        <v>33212.12</v>
      </c>
      <c r="S190" s="29">
        <f t="shared" si="23"/>
        <v>-5559.040000000001</v>
      </c>
    </row>
    <row r="191" spans="1:19" ht="31.5" customHeight="1">
      <c r="A191" s="76" t="s">
        <v>227</v>
      </c>
      <c r="B191" s="76">
        <v>18</v>
      </c>
      <c r="C191" s="115" t="s">
        <v>299</v>
      </c>
      <c r="D191" s="117">
        <v>27653.08</v>
      </c>
      <c r="E191" s="116" t="s">
        <v>228</v>
      </c>
      <c r="F191" s="118">
        <v>24614.8</v>
      </c>
      <c r="G191" s="78">
        <f t="shared" si="22"/>
        <v>3038.2800000000025</v>
      </c>
      <c r="H191" s="97" t="s">
        <v>251</v>
      </c>
      <c r="I191" s="119" t="s">
        <v>100</v>
      </c>
      <c r="J191" s="80" t="s">
        <v>229</v>
      </c>
      <c r="K191" s="122" t="s">
        <v>255</v>
      </c>
      <c r="L191" s="80">
        <v>9</v>
      </c>
      <c r="M191" s="121">
        <v>27895.14</v>
      </c>
      <c r="N191" s="28">
        <v>568.12</v>
      </c>
      <c r="O191" s="28"/>
      <c r="P191" s="28"/>
      <c r="Q191" s="28">
        <v>321.36</v>
      </c>
      <c r="R191" s="28">
        <f t="shared" si="24"/>
        <v>28784.62</v>
      </c>
      <c r="S191" s="29">
        <f t="shared" si="23"/>
        <v>-1131.5399999999972</v>
      </c>
    </row>
    <row r="192" spans="1:19" ht="31.5" customHeight="1">
      <c r="A192" s="76" t="s">
        <v>227</v>
      </c>
      <c r="B192" s="76">
        <v>18</v>
      </c>
      <c r="C192" s="115" t="s">
        <v>299</v>
      </c>
      <c r="D192" s="117">
        <v>27653.08</v>
      </c>
      <c r="E192" s="116" t="s">
        <v>256</v>
      </c>
      <c r="F192" s="118">
        <v>24614.8</v>
      </c>
      <c r="G192" s="78">
        <f t="shared" si="22"/>
        <v>3038.2800000000025</v>
      </c>
      <c r="H192" s="97" t="s">
        <v>251</v>
      </c>
      <c r="I192" s="119" t="s">
        <v>100</v>
      </c>
      <c r="J192" s="80" t="s">
        <v>257</v>
      </c>
      <c r="K192" s="120" t="s">
        <v>258</v>
      </c>
      <c r="L192" s="80">
        <v>1</v>
      </c>
      <c r="M192" s="121">
        <v>35305.34</v>
      </c>
      <c r="N192" s="28">
        <v>445.9</v>
      </c>
      <c r="O192" s="28"/>
      <c r="P192" s="28"/>
      <c r="Q192" s="28">
        <v>321.36</v>
      </c>
      <c r="R192" s="28">
        <f t="shared" si="24"/>
        <v>36072.6</v>
      </c>
      <c r="S192" s="29">
        <f t="shared" si="23"/>
        <v>-8419.519999999997</v>
      </c>
    </row>
    <row r="193" spans="1:19" s="102" customFormat="1" ht="31.5" customHeight="1">
      <c r="A193" s="92" t="s">
        <v>227</v>
      </c>
      <c r="B193" s="92">
        <v>18</v>
      </c>
      <c r="C193" s="92" t="s">
        <v>299</v>
      </c>
      <c r="D193" s="94">
        <v>27653.08</v>
      </c>
      <c r="E193" s="93" t="s">
        <v>256</v>
      </c>
      <c r="F193" s="95">
        <v>24614.8</v>
      </c>
      <c r="G193" s="96">
        <f t="shared" si="22"/>
        <v>3038.2800000000025</v>
      </c>
      <c r="H193" s="97" t="s">
        <v>251</v>
      </c>
      <c r="I193" s="100" t="s">
        <v>100</v>
      </c>
      <c r="J193" s="100" t="s">
        <v>257</v>
      </c>
      <c r="K193" s="147" t="s">
        <v>259</v>
      </c>
      <c r="L193" s="100">
        <v>2</v>
      </c>
      <c r="M193" s="101">
        <v>29309</v>
      </c>
      <c r="N193" s="101">
        <v>539.84</v>
      </c>
      <c r="O193" s="101"/>
      <c r="P193" s="101"/>
      <c r="Q193" s="101">
        <v>321.36</v>
      </c>
      <c r="R193" s="169">
        <f t="shared" si="24"/>
        <v>30170.2</v>
      </c>
      <c r="S193" s="150">
        <f t="shared" si="23"/>
        <v>-2517.119999999999</v>
      </c>
    </row>
    <row r="194" spans="1:19" s="102" customFormat="1" ht="31.5" customHeight="1">
      <c r="A194" s="92" t="s">
        <v>227</v>
      </c>
      <c r="B194" s="92">
        <v>18</v>
      </c>
      <c r="C194" s="92" t="s">
        <v>299</v>
      </c>
      <c r="D194" s="94">
        <v>27653.08</v>
      </c>
      <c r="E194" s="93" t="s">
        <v>256</v>
      </c>
      <c r="F194" s="95">
        <v>24614.8</v>
      </c>
      <c r="G194" s="96">
        <f t="shared" si="22"/>
        <v>3038.2800000000025</v>
      </c>
      <c r="H194" s="97" t="s">
        <v>251</v>
      </c>
      <c r="I194" s="100" t="s">
        <v>100</v>
      </c>
      <c r="J194" s="100" t="s">
        <v>257</v>
      </c>
      <c r="K194" s="147" t="s">
        <v>260</v>
      </c>
      <c r="L194" s="100">
        <v>7</v>
      </c>
      <c r="M194" s="101">
        <v>26910.8</v>
      </c>
      <c r="N194" s="101">
        <v>589.54</v>
      </c>
      <c r="O194" s="101"/>
      <c r="P194" s="101"/>
      <c r="Q194" s="101">
        <v>321.36</v>
      </c>
      <c r="R194" s="169">
        <f t="shared" si="24"/>
        <v>27821.7</v>
      </c>
      <c r="S194" s="150">
        <f t="shared" si="23"/>
        <v>-168.61999999999898</v>
      </c>
    </row>
    <row r="195" spans="1:19" s="102" customFormat="1" ht="31.5" customHeight="1">
      <c r="A195" s="92" t="s">
        <v>227</v>
      </c>
      <c r="B195" s="92">
        <v>18</v>
      </c>
      <c r="C195" s="92" t="s">
        <v>299</v>
      </c>
      <c r="D195" s="94">
        <v>27653.08</v>
      </c>
      <c r="E195" s="93" t="s">
        <v>256</v>
      </c>
      <c r="F195" s="95">
        <v>24614.8</v>
      </c>
      <c r="G195" s="96">
        <f t="shared" si="22"/>
        <v>3038.2800000000025</v>
      </c>
      <c r="H195" s="97" t="s">
        <v>251</v>
      </c>
      <c r="I195" s="100" t="s">
        <v>100</v>
      </c>
      <c r="J195" s="100" t="s">
        <v>257</v>
      </c>
      <c r="K195" s="147" t="s">
        <v>261</v>
      </c>
      <c r="L195" s="100">
        <v>36</v>
      </c>
      <c r="M195" s="101">
        <v>26497.38</v>
      </c>
      <c r="N195" s="101">
        <v>598.92</v>
      </c>
      <c r="O195" s="101"/>
      <c r="P195" s="101"/>
      <c r="Q195" s="101">
        <v>321.36</v>
      </c>
      <c r="R195" s="169">
        <f t="shared" si="24"/>
        <v>27417.66</v>
      </c>
      <c r="S195" s="150">
        <f t="shared" si="23"/>
        <v>235.4200000000019</v>
      </c>
    </row>
    <row r="196" spans="1:19" s="102" customFormat="1" ht="31.5" customHeight="1">
      <c r="A196" s="92" t="s">
        <v>227</v>
      </c>
      <c r="B196" s="92">
        <v>18</v>
      </c>
      <c r="C196" s="92" t="s">
        <v>299</v>
      </c>
      <c r="D196" s="94">
        <v>27653.08</v>
      </c>
      <c r="E196" s="93" t="s">
        <v>256</v>
      </c>
      <c r="F196" s="95">
        <v>24614.8</v>
      </c>
      <c r="G196" s="96">
        <f t="shared" si="22"/>
        <v>3038.2800000000025</v>
      </c>
      <c r="H196" s="97" t="s">
        <v>251</v>
      </c>
      <c r="I196" s="100" t="s">
        <v>117</v>
      </c>
      <c r="J196" s="100" t="s">
        <v>229</v>
      </c>
      <c r="K196" s="147" t="s">
        <v>262</v>
      </c>
      <c r="L196" s="100">
        <v>2</v>
      </c>
      <c r="M196" s="101">
        <f>1382.1*14</f>
        <v>19349.399999999998</v>
      </c>
      <c r="N196" s="101">
        <f>53.45*12+22.79*14+190.07*12</f>
        <v>3241.3</v>
      </c>
      <c r="O196" s="101">
        <f>134.61*14</f>
        <v>1884.5400000000002</v>
      </c>
      <c r="P196" s="101"/>
      <c r="Q196" s="101"/>
      <c r="R196" s="101">
        <f t="shared" si="24"/>
        <v>24475.239999999998</v>
      </c>
      <c r="S196" s="150">
        <f t="shared" si="23"/>
        <v>3177.840000000004</v>
      </c>
    </row>
    <row r="197" spans="1:19" ht="31.5" customHeight="1">
      <c r="A197" s="76" t="s">
        <v>227</v>
      </c>
      <c r="B197" s="76">
        <v>18</v>
      </c>
      <c r="C197" s="115" t="s">
        <v>299</v>
      </c>
      <c r="D197" s="117">
        <v>27653.08</v>
      </c>
      <c r="E197" s="116" t="s">
        <v>256</v>
      </c>
      <c r="F197" s="118">
        <v>24614.8</v>
      </c>
      <c r="G197" s="78">
        <f t="shared" si="22"/>
        <v>3038.2800000000025</v>
      </c>
      <c r="H197" s="97" t="s">
        <v>251</v>
      </c>
      <c r="I197" s="119" t="s">
        <v>100</v>
      </c>
      <c r="J197" s="80" t="s">
        <v>257</v>
      </c>
      <c r="K197" s="120" t="s">
        <v>263</v>
      </c>
      <c r="L197" s="80">
        <v>5</v>
      </c>
      <c r="M197" s="121">
        <v>25063.36</v>
      </c>
      <c r="N197" s="28">
        <v>634.34</v>
      </c>
      <c r="O197" s="28"/>
      <c r="P197" s="28"/>
      <c r="Q197" s="28">
        <v>321.36</v>
      </c>
      <c r="R197" s="28">
        <f t="shared" si="24"/>
        <v>26019.06</v>
      </c>
      <c r="S197" s="29">
        <f t="shared" si="23"/>
        <v>1634.0200000000004</v>
      </c>
    </row>
    <row r="198" spans="1:19" ht="31.5" customHeight="1">
      <c r="A198" s="76" t="s">
        <v>227</v>
      </c>
      <c r="B198" s="76">
        <v>18</v>
      </c>
      <c r="C198" s="115" t="s">
        <v>299</v>
      </c>
      <c r="D198" s="117">
        <v>27653.08</v>
      </c>
      <c r="E198" s="116" t="s">
        <v>256</v>
      </c>
      <c r="F198" s="118">
        <v>24614.8</v>
      </c>
      <c r="G198" s="78">
        <f t="shared" si="22"/>
        <v>3038.2800000000025</v>
      </c>
      <c r="H198" s="97" t="s">
        <v>251</v>
      </c>
      <c r="I198" s="119" t="s">
        <v>100</v>
      </c>
      <c r="J198" s="80" t="s">
        <v>257</v>
      </c>
      <c r="K198" s="120" t="s">
        <v>264</v>
      </c>
      <c r="L198" s="80">
        <v>1</v>
      </c>
      <c r="M198" s="121">
        <v>25063.36</v>
      </c>
      <c r="N198" s="28">
        <v>634.34</v>
      </c>
      <c r="O198" s="28"/>
      <c r="P198" s="28"/>
      <c r="Q198" s="28">
        <v>321.36</v>
      </c>
      <c r="R198" s="28">
        <f t="shared" si="24"/>
        <v>26019.06</v>
      </c>
      <c r="S198" s="29">
        <f t="shared" si="23"/>
        <v>1634.0200000000004</v>
      </c>
    </row>
    <row r="199" spans="1:19" ht="31.5" customHeight="1">
      <c r="A199" s="76" t="s">
        <v>227</v>
      </c>
      <c r="B199" s="76">
        <v>18</v>
      </c>
      <c r="C199" s="115" t="s">
        <v>299</v>
      </c>
      <c r="D199" s="117">
        <v>27653.08</v>
      </c>
      <c r="E199" s="116" t="s">
        <v>256</v>
      </c>
      <c r="F199" s="118">
        <v>24614.8</v>
      </c>
      <c r="G199" s="78">
        <f t="shared" si="22"/>
        <v>3038.2800000000025</v>
      </c>
      <c r="H199" s="97" t="s">
        <v>251</v>
      </c>
      <c r="I199" s="9"/>
      <c r="J199" s="9"/>
      <c r="K199" s="9"/>
      <c r="L199" s="10"/>
      <c r="M199" s="118">
        <v>24614.8</v>
      </c>
      <c r="N199" s="9"/>
      <c r="O199" s="9"/>
      <c r="P199" s="9"/>
      <c r="Q199" s="9"/>
      <c r="R199" s="117">
        <v>27653.08</v>
      </c>
      <c r="S199" s="29">
        <f t="shared" si="23"/>
        <v>0</v>
      </c>
    </row>
    <row r="200" spans="1:19" ht="31.5" customHeight="1">
      <c r="A200" s="76" t="s">
        <v>227</v>
      </c>
      <c r="B200" s="76">
        <v>18</v>
      </c>
      <c r="C200" s="115" t="s">
        <v>299</v>
      </c>
      <c r="D200" s="117">
        <v>27653.08</v>
      </c>
      <c r="E200" s="116" t="s">
        <v>256</v>
      </c>
      <c r="F200" s="118">
        <v>24614.8</v>
      </c>
      <c r="G200" s="78">
        <f t="shared" si="22"/>
        <v>3038.2800000000025</v>
      </c>
      <c r="H200" s="97" t="s">
        <v>251</v>
      </c>
      <c r="I200" s="119" t="s">
        <v>100</v>
      </c>
      <c r="J200" s="80" t="s">
        <v>257</v>
      </c>
      <c r="K200" s="120" t="s">
        <v>265</v>
      </c>
      <c r="L200" s="80">
        <v>5</v>
      </c>
      <c r="M200" s="121">
        <v>21236.46</v>
      </c>
      <c r="N200" s="28">
        <v>752.92</v>
      </c>
      <c r="O200" s="28">
        <v>2910.46</v>
      </c>
      <c r="P200" s="28"/>
      <c r="Q200" s="28">
        <v>321.36</v>
      </c>
      <c r="R200" s="28">
        <f>M200+N200+O200+P200+Q200</f>
        <v>25221.199999999997</v>
      </c>
      <c r="S200" s="29">
        <f t="shared" si="23"/>
        <v>2431.8800000000047</v>
      </c>
    </row>
    <row r="201" spans="1:19" ht="31.5" customHeight="1">
      <c r="A201" s="83"/>
      <c r="B201" s="83"/>
      <c r="C201" s="85"/>
      <c r="D201" s="84"/>
      <c r="E201" s="86"/>
      <c r="F201" s="87"/>
      <c r="G201" s="84"/>
      <c r="H201" s="88"/>
      <c r="I201" s="88"/>
      <c r="J201" s="89"/>
      <c r="K201" s="88"/>
      <c r="L201" s="90"/>
      <c r="M201" s="90"/>
      <c r="N201" s="90"/>
      <c r="O201" s="90"/>
      <c r="P201" s="90"/>
      <c r="Q201" s="90"/>
      <c r="R201" s="91"/>
      <c r="S201" s="29"/>
    </row>
    <row r="202" spans="1:19" s="102" customFormat="1" ht="31.5" customHeight="1">
      <c r="A202" s="92" t="s">
        <v>227</v>
      </c>
      <c r="B202" s="92">
        <v>16</v>
      </c>
      <c r="C202" s="92" t="s">
        <v>381</v>
      </c>
      <c r="D202" s="94">
        <v>25933.88</v>
      </c>
      <c r="E202" s="93" t="s">
        <v>228</v>
      </c>
      <c r="F202" s="95">
        <v>24614.8</v>
      </c>
      <c r="G202" s="96">
        <f>D202-F202</f>
        <v>1319.0800000000017</v>
      </c>
      <c r="H202" s="162" t="s">
        <v>266</v>
      </c>
      <c r="I202" s="100"/>
      <c r="J202" s="100"/>
      <c r="K202" s="147"/>
      <c r="L202" s="100"/>
      <c r="M202" s="101"/>
      <c r="N202" s="101"/>
      <c r="O202" s="101"/>
      <c r="P202" s="101"/>
      <c r="Q202" s="101"/>
      <c r="R202" s="101"/>
      <c r="S202" s="150"/>
    </row>
    <row r="203" spans="1:19" ht="31.5" customHeight="1">
      <c r="A203" s="83"/>
      <c r="B203" s="83"/>
      <c r="C203" s="85"/>
      <c r="D203" s="84"/>
      <c r="E203" s="86"/>
      <c r="F203" s="87"/>
      <c r="G203" s="84"/>
      <c r="H203" s="88"/>
      <c r="I203" s="88"/>
      <c r="J203" s="89"/>
      <c r="K203" s="88"/>
      <c r="L203" s="90"/>
      <c r="M203" s="90"/>
      <c r="N203" s="90"/>
      <c r="O203" s="90"/>
      <c r="P203" s="90"/>
      <c r="Q203" s="90"/>
      <c r="R203" s="91"/>
      <c r="S203" s="29"/>
    </row>
    <row r="207" spans="1:19" s="102" customFormat="1" ht="31.5" customHeight="1">
      <c r="A207" s="92" t="s">
        <v>227</v>
      </c>
      <c r="B207" s="92">
        <v>16</v>
      </c>
      <c r="C207" s="92" t="s">
        <v>280</v>
      </c>
      <c r="D207" s="94">
        <v>24614.8</v>
      </c>
      <c r="E207" s="93" t="s">
        <v>228</v>
      </c>
      <c r="F207" s="95">
        <v>24614.8</v>
      </c>
      <c r="G207" s="96">
        <f aca="true" t="shared" si="25" ref="G207:G236">D207-F207</f>
        <v>0</v>
      </c>
      <c r="H207" s="148" t="s">
        <v>267</v>
      </c>
      <c r="I207" s="100" t="s">
        <v>114</v>
      </c>
      <c r="J207" s="100" t="s">
        <v>229</v>
      </c>
      <c r="K207" s="147" t="s">
        <v>270</v>
      </c>
      <c r="L207" s="100">
        <v>2</v>
      </c>
      <c r="M207" s="101">
        <f>1405.18*14</f>
        <v>19672.52</v>
      </c>
      <c r="N207" s="101">
        <f>(87.03*14)+12*(88.43+53.03+55.83+103.5)</f>
        <v>4827.900000000001</v>
      </c>
      <c r="O207" s="101"/>
      <c r="P207" s="101"/>
      <c r="Q207" s="101"/>
      <c r="R207" s="101">
        <f>SUM(M207:Q207)</f>
        <v>24500.420000000002</v>
      </c>
      <c r="S207" s="29">
        <f aca="true" t="shared" si="26" ref="S207:S236">D207-R207</f>
        <v>114.37999999999738</v>
      </c>
    </row>
    <row r="208" spans="1:19" s="102" customFormat="1" ht="31.5" customHeight="1">
      <c r="A208" s="92" t="s">
        <v>227</v>
      </c>
      <c r="B208" s="92">
        <v>16</v>
      </c>
      <c r="C208" s="92" t="s">
        <v>280</v>
      </c>
      <c r="D208" s="94">
        <v>24614.8</v>
      </c>
      <c r="E208" s="93" t="s">
        <v>228</v>
      </c>
      <c r="F208" s="95">
        <v>24614.8</v>
      </c>
      <c r="G208" s="96">
        <f t="shared" si="25"/>
        <v>0</v>
      </c>
      <c r="H208" s="148" t="s">
        <v>267</v>
      </c>
      <c r="I208" s="100" t="s">
        <v>114</v>
      </c>
      <c r="J208" s="100" t="s">
        <v>229</v>
      </c>
      <c r="K208" s="147" t="s">
        <v>271</v>
      </c>
      <c r="L208" s="100">
        <v>3</v>
      </c>
      <c r="M208" s="101">
        <f>1405.18*14</f>
        <v>19672.52</v>
      </c>
      <c r="N208" s="101">
        <f>12*(93.66+99.62+104.89+103.5)</f>
        <v>4820.04</v>
      </c>
      <c r="O208" s="101"/>
      <c r="P208" s="101"/>
      <c r="Q208" s="101"/>
      <c r="R208" s="101">
        <f>SUM(M208:Q208)</f>
        <v>24492.56</v>
      </c>
      <c r="S208" s="29">
        <f t="shared" si="26"/>
        <v>122.23999999999796</v>
      </c>
    </row>
    <row r="209" spans="1:19" ht="31.5" customHeight="1">
      <c r="A209" s="76" t="s">
        <v>227</v>
      </c>
      <c r="B209" s="76">
        <v>16</v>
      </c>
      <c r="C209" s="115" t="s">
        <v>280</v>
      </c>
      <c r="D209" s="117">
        <v>24614.8</v>
      </c>
      <c r="E209" s="116" t="s">
        <v>228</v>
      </c>
      <c r="F209" s="118">
        <v>24614.8</v>
      </c>
      <c r="G209" s="78">
        <f t="shared" si="25"/>
        <v>0</v>
      </c>
      <c r="H209" s="148" t="s">
        <v>267</v>
      </c>
      <c r="I209" s="119" t="s">
        <v>100</v>
      </c>
      <c r="J209" s="80" t="s">
        <v>229</v>
      </c>
      <c r="K209" s="120" t="s">
        <v>272</v>
      </c>
      <c r="L209" s="80">
        <v>15</v>
      </c>
      <c r="M209" s="121">
        <v>25063.36</v>
      </c>
      <c r="N209" s="28">
        <v>634.34</v>
      </c>
      <c r="O209" s="28"/>
      <c r="P209" s="28"/>
      <c r="Q209" s="28">
        <v>321.36</v>
      </c>
      <c r="R209" s="28">
        <f>M209+N209+O209+P209+Q209</f>
        <v>26019.06</v>
      </c>
      <c r="S209" s="29">
        <f t="shared" si="26"/>
        <v>-1404.260000000002</v>
      </c>
    </row>
    <row r="210" spans="1:19" ht="31.5" customHeight="1">
      <c r="A210" s="76" t="s">
        <v>227</v>
      </c>
      <c r="B210" s="76">
        <v>16</v>
      </c>
      <c r="C210" s="115" t="s">
        <v>280</v>
      </c>
      <c r="D210" s="117">
        <v>24614.8</v>
      </c>
      <c r="E210" s="116" t="s">
        <v>228</v>
      </c>
      <c r="F210" s="118">
        <v>24614.8</v>
      </c>
      <c r="G210" s="78">
        <f t="shared" si="25"/>
        <v>0</v>
      </c>
      <c r="H210" s="148" t="s">
        <v>267</v>
      </c>
      <c r="I210" s="80" t="s">
        <v>104</v>
      </c>
      <c r="J210" s="80" t="s">
        <v>229</v>
      </c>
      <c r="K210" s="122" t="s">
        <v>273</v>
      </c>
      <c r="L210" s="80">
        <v>8</v>
      </c>
      <c r="M210" s="28">
        <v>17323.88</v>
      </c>
      <c r="N210" s="28">
        <f>346.64+124.88+313.46+993.3+1045.8</f>
        <v>2824.08</v>
      </c>
      <c r="O210" s="28">
        <f>3170.02+1280.58</f>
        <v>4450.6</v>
      </c>
      <c r="P210" s="28"/>
      <c r="Q210" s="28"/>
      <c r="R210" s="28">
        <f>M210+N210+O210+P210+Q210</f>
        <v>24598.559999999998</v>
      </c>
      <c r="S210" s="29">
        <f t="shared" si="26"/>
        <v>16.2400000000016</v>
      </c>
    </row>
    <row r="211" spans="1:19" ht="31.5" customHeight="1">
      <c r="A211" s="76" t="s">
        <v>227</v>
      </c>
      <c r="B211" s="76">
        <v>16</v>
      </c>
      <c r="C211" s="115" t="s">
        <v>280</v>
      </c>
      <c r="D211" s="117">
        <v>24614.8</v>
      </c>
      <c r="E211" s="116" t="s">
        <v>228</v>
      </c>
      <c r="F211" s="118">
        <v>24614.8</v>
      </c>
      <c r="G211" s="78">
        <f t="shared" si="25"/>
        <v>0</v>
      </c>
      <c r="H211" s="148" t="s">
        <v>267</v>
      </c>
      <c r="I211" s="80" t="s">
        <v>104</v>
      </c>
      <c r="J211" s="80" t="s">
        <v>229</v>
      </c>
      <c r="K211" s="122" t="s">
        <v>274</v>
      </c>
      <c r="L211" s="80">
        <v>6</v>
      </c>
      <c r="M211" s="28">
        <v>17323.88</v>
      </c>
      <c r="N211" s="28">
        <f>346.64+124.88+313.46+993.3+1045.8</f>
        <v>2824.08</v>
      </c>
      <c r="O211" s="28">
        <f>3170.02+1280.58</f>
        <v>4450.6</v>
      </c>
      <c r="P211" s="28"/>
      <c r="Q211" s="28"/>
      <c r="R211" s="28">
        <f>M211+N211+O211+P211+Q211</f>
        <v>24598.559999999998</v>
      </c>
      <c r="S211" s="29">
        <f t="shared" si="26"/>
        <v>16.2400000000016</v>
      </c>
    </row>
    <row r="212" spans="1:19" ht="31.5" customHeight="1">
      <c r="A212" s="76" t="s">
        <v>227</v>
      </c>
      <c r="B212" s="76">
        <v>16</v>
      </c>
      <c r="C212" s="115" t="s">
        <v>280</v>
      </c>
      <c r="D212" s="117">
        <v>24614.8</v>
      </c>
      <c r="E212" s="116" t="s">
        <v>228</v>
      </c>
      <c r="F212" s="118">
        <v>24614.8</v>
      </c>
      <c r="G212" s="78">
        <f t="shared" si="25"/>
        <v>0</v>
      </c>
      <c r="H212" s="148" t="s">
        <v>267</v>
      </c>
      <c r="I212" s="119" t="s">
        <v>100</v>
      </c>
      <c r="J212" s="80" t="s">
        <v>229</v>
      </c>
      <c r="K212" s="120" t="s">
        <v>275</v>
      </c>
      <c r="L212" s="80">
        <v>10</v>
      </c>
      <c r="M212" s="121">
        <v>21028</v>
      </c>
      <c r="N212" s="28">
        <v>760.62</v>
      </c>
      <c r="O212" s="28">
        <v>2397.08</v>
      </c>
      <c r="P212" s="28"/>
      <c r="Q212" s="28">
        <v>321.36</v>
      </c>
      <c r="R212" s="28">
        <f>M212+N212+O212+P212+Q212</f>
        <v>24507.059999999998</v>
      </c>
      <c r="S212" s="29">
        <f t="shared" si="26"/>
        <v>107.7400000000016</v>
      </c>
    </row>
    <row r="213" spans="1:19" ht="31.5" customHeight="1">
      <c r="A213" s="76" t="s">
        <v>227</v>
      </c>
      <c r="B213" s="76">
        <v>16</v>
      </c>
      <c r="C213" s="115" t="s">
        <v>280</v>
      </c>
      <c r="D213" s="117">
        <v>24614.8</v>
      </c>
      <c r="E213" s="116" t="s">
        <v>228</v>
      </c>
      <c r="F213" s="118">
        <v>24614.8</v>
      </c>
      <c r="G213" s="78">
        <f t="shared" si="25"/>
        <v>0</v>
      </c>
      <c r="H213" s="148" t="s">
        <v>267</v>
      </c>
      <c r="I213" s="80" t="s">
        <v>117</v>
      </c>
      <c r="J213" s="80" t="s">
        <v>229</v>
      </c>
      <c r="K213" s="108" t="s">
        <v>262</v>
      </c>
      <c r="L213" s="80">
        <v>22</v>
      </c>
      <c r="M213" s="28">
        <f>1382.1*14</f>
        <v>19349.399999999998</v>
      </c>
      <c r="N213" s="28">
        <f>53.45*12+22.79*14+190.07*12</f>
        <v>3241.3</v>
      </c>
      <c r="O213" s="28">
        <f>134.61*14</f>
        <v>1884.5400000000002</v>
      </c>
      <c r="P213" s="28"/>
      <c r="Q213" s="28"/>
      <c r="R213" s="28">
        <f>M213+N213+O213+P213+Q213</f>
        <v>24475.239999999998</v>
      </c>
      <c r="S213" s="29">
        <f t="shared" si="26"/>
        <v>139.5600000000013</v>
      </c>
    </row>
    <row r="214" spans="1:19" ht="31.5" customHeight="1">
      <c r="A214" s="76" t="s">
        <v>227</v>
      </c>
      <c r="B214" s="76">
        <v>16</v>
      </c>
      <c r="C214" s="115" t="s">
        <v>280</v>
      </c>
      <c r="D214" s="117">
        <v>24614.8</v>
      </c>
      <c r="E214" s="116" t="s">
        <v>228</v>
      </c>
      <c r="F214" s="118">
        <v>24614.8</v>
      </c>
      <c r="G214" s="78">
        <f t="shared" si="25"/>
        <v>0</v>
      </c>
      <c r="H214" s="148" t="s">
        <v>267</v>
      </c>
      <c r="I214" s="104" t="s">
        <v>67</v>
      </c>
      <c r="J214" s="104" t="s">
        <v>229</v>
      </c>
      <c r="K214" s="105" t="s">
        <v>276</v>
      </c>
      <c r="L214" s="104">
        <v>1</v>
      </c>
      <c r="M214" s="106">
        <v>15993.74</v>
      </c>
      <c r="N214" s="106">
        <f>319.06+7728.42</f>
        <v>8047.4800000000005</v>
      </c>
      <c r="O214" s="106">
        <v>12158.72</v>
      </c>
      <c r="P214" s="106"/>
      <c r="Q214" s="106"/>
      <c r="R214" s="106">
        <f aca="true" t="shared" si="27" ref="R214:R222">SUM(M214:Q214)</f>
        <v>36199.94</v>
      </c>
      <c r="S214" s="29">
        <f t="shared" si="26"/>
        <v>-11585.140000000003</v>
      </c>
    </row>
    <row r="215" spans="1:19" ht="31.5" customHeight="1">
      <c r="A215" s="76" t="s">
        <v>227</v>
      </c>
      <c r="B215" s="76">
        <v>16</v>
      </c>
      <c r="C215" s="115" t="s">
        <v>280</v>
      </c>
      <c r="D215" s="117">
        <v>24614.8</v>
      </c>
      <c r="E215" s="116" t="s">
        <v>228</v>
      </c>
      <c r="F215" s="118">
        <v>24614.8</v>
      </c>
      <c r="G215" s="78">
        <f t="shared" si="25"/>
        <v>0</v>
      </c>
      <c r="H215" s="148" t="s">
        <v>267</v>
      </c>
      <c r="I215" s="104" t="s">
        <v>67</v>
      </c>
      <c r="J215" s="104" t="s">
        <v>229</v>
      </c>
      <c r="K215" s="105" t="s">
        <v>277</v>
      </c>
      <c r="L215" s="104">
        <v>1</v>
      </c>
      <c r="M215" s="106">
        <v>20710.2</v>
      </c>
      <c r="N215" s="106">
        <v>2391.76</v>
      </c>
      <c r="O215" s="106">
        <v>10091.06</v>
      </c>
      <c r="P215" s="106"/>
      <c r="Q215" s="106">
        <v>488.46</v>
      </c>
      <c r="R215" s="106">
        <f t="shared" si="27"/>
        <v>33681.479999999996</v>
      </c>
      <c r="S215" s="29">
        <f t="shared" si="26"/>
        <v>-9066.679999999997</v>
      </c>
    </row>
    <row r="216" spans="1:19" ht="31.5" customHeight="1">
      <c r="A216" s="76" t="s">
        <v>227</v>
      </c>
      <c r="B216" s="76">
        <v>16</v>
      </c>
      <c r="C216" s="115" t="s">
        <v>280</v>
      </c>
      <c r="D216" s="117">
        <v>24614.8</v>
      </c>
      <c r="E216" s="116" t="s">
        <v>228</v>
      </c>
      <c r="F216" s="118">
        <v>24614.8</v>
      </c>
      <c r="G216" s="78">
        <f t="shared" si="25"/>
        <v>0</v>
      </c>
      <c r="H216" s="148" t="s">
        <v>267</v>
      </c>
      <c r="I216" s="104" t="s">
        <v>67</v>
      </c>
      <c r="J216" s="104" t="s">
        <v>229</v>
      </c>
      <c r="K216" s="105" t="s">
        <v>278</v>
      </c>
      <c r="L216" s="104">
        <v>1</v>
      </c>
      <c r="M216" s="106">
        <v>17899.42</v>
      </c>
      <c r="N216" s="106">
        <v>2505.16</v>
      </c>
      <c r="O216" s="106">
        <v>4887.4</v>
      </c>
      <c r="P216" s="106"/>
      <c r="Q216" s="106">
        <v>511.7</v>
      </c>
      <c r="R216" s="106">
        <f t="shared" si="27"/>
        <v>25803.679999999997</v>
      </c>
      <c r="S216" s="29">
        <f t="shared" si="26"/>
        <v>-1188.8799999999974</v>
      </c>
    </row>
    <row r="217" spans="1:19" ht="31.5" customHeight="1">
      <c r="A217" s="76" t="s">
        <v>227</v>
      </c>
      <c r="B217" s="76">
        <v>16</v>
      </c>
      <c r="C217" s="115" t="s">
        <v>280</v>
      </c>
      <c r="D217" s="117">
        <v>24614.8</v>
      </c>
      <c r="E217" s="116" t="s">
        <v>228</v>
      </c>
      <c r="F217" s="118">
        <v>24614.8</v>
      </c>
      <c r="G217" s="78">
        <f t="shared" si="25"/>
        <v>0</v>
      </c>
      <c r="H217" s="148" t="s">
        <v>267</v>
      </c>
      <c r="I217" s="104" t="s">
        <v>67</v>
      </c>
      <c r="J217" s="104" t="s">
        <v>229</v>
      </c>
      <c r="K217" s="105" t="s">
        <v>279</v>
      </c>
      <c r="L217" s="104">
        <v>1</v>
      </c>
      <c r="M217" s="106">
        <v>11097.66</v>
      </c>
      <c r="N217" s="106">
        <v>2505.16</v>
      </c>
      <c r="O217" s="106">
        <v>9793.28</v>
      </c>
      <c r="P217" s="106"/>
      <c r="Q217" s="106">
        <f>1895.74+511.7</f>
        <v>2407.44</v>
      </c>
      <c r="R217" s="106">
        <f t="shared" si="27"/>
        <v>25803.539999999997</v>
      </c>
      <c r="S217" s="29">
        <f t="shared" si="26"/>
        <v>-1188.739999999998</v>
      </c>
    </row>
    <row r="218" spans="1:19" ht="31.5" customHeight="1">
      <c r="A218" s="76" t="s">
        <v>227</v>
      </c>
      <c r="B218" s="76">
        <v>16</v>
      </c>
      <c r="C218" s="115" t="s">
        <v>280</v>
      </c>
      <c r="D218" s="117">
        <v>24614.8</v>
      </c>
      <c r="E218" s="116" t="s">
        <v>228</v>
      </c>
      <c r="F218" s="118">
        <v>24614.8</v>
      </c>
      <c r="G218" s="78">
        <f t="shared" si="25"/>
        <v>0</v>
      </c>
      <c r="H218" s="148" t="s">
        <v>267</v>
      </c>
      <c r="I218" s="104" t="s">
        <v>67</v>
      </c>
      <c r="J218" s="104" t="s">
        <v>229</v>
      </c>
      <c r="K218" s="105" t="s">
        <v>280</v>
      </c>
      <c r="L218" s="104">
        <v>1</v>
      </c>
      <c r="M218" s="106">
        <v>10630.2</v>
      </c>
      <c r="N218" s="106">
        <v>2391.76</v>
      </c>
      <c r="O218" s="106">
        <v>8795.5</v>
      </c>
      <c r="P218" s="106"/>
      <c r="Q218" s="106">
        <f>3350.06+488.46</f>
        <v>3838.52</v>
      </c>
      <c r="R218" s="106">
        <f t="shared" si="27"/>
        <v>25655.98</v>
      </c>
      <c r="S218" s="29">
        <f t="shared" si="26"/>
        <v>-1041.1800000000003</v>
      </c>
    </row>
    <row r="219" spans="1:19" ht="31.5" customHeight="1">
      <c r="A219" s="76" t="s">
        <v>227</v>
      </c>
      <c r="B219" s="76">
        <v>16</v>
      </c>
      <c r="C219" s="115" t="s">
        <v>280</v>
      </c>
      <c r="D219" s="117">
        <v>24614.8</v>
      </c>
      <c r="E219" s="116" t="s">
        <v>228</v>
      </c>
      <c r="F219" s="118">
        <v>24614.8</v>
      </c>
      <c r="G219" s="78">
        <f t="shared" si="25"/>
        <v>0</v>
      </c>
      <c r="H219" s="148" t="s">
        <v>267</v>
      </c>
      <c r="I219" s="104" t="s">
        <v>67</v>
      </c>
      <c r="J219" s="104" t="s">
        <v>229</v>
      </c>
      <c r="K219" s="105" t="s">
        <v>280</v>
      </c>
      <c r="L219" s="104">
        <v>1</v>
      </c>
      <c r="M219" s="106">
        <v>11095.14</v>
      </c>
      <c r="N219" s="106">
        <v>5506.9</v>
      </c>
      <c r="O219" s="106">
        <v>7736.82</v>
      </c>
      <c r="P219" s="106"/>
      <c r="Q219" s="106">
        <v>632.24</v>
      </c>
      <c r="R219" s="106">
        <f t="shared" si="27"/>
        <v>24971.100000000002</v>
      </c>
      <c r="S219" s="29">
        <f t="shared" si="26"/>
        <v>-356.3000000000029</v>
      </c>
    </row>
    <row r="220" spans="1:19" ht="31.5" customHeight="1">
      <c r="A220" s="76" t="s">
        <v>227</v>
      </c>
      <c r="B220" s="76">
        <v>16</v>
      </c>
      <c r="C220" s="115" t="s">
        <v>280</v>
      </c>
      <c r="D220" s="117">
        <v>24614.8</v>
      </c>
      <c r="E220" s="116" t="s">
        <v>228</v>
      </c>
      <c r="F220" s="118">
        <v>24614.8</v>
      </c>
      <c r="G220" s="78">
        <f t="shared" si="25"/>
        <v>0</v>
      </c>
      <c r="H220" s="148" t="s">
        <v>267</v>
      </c>
      <c r="I220" s="104" t="s">
        <v>67</v>
      </c>
      <c r="J220" s="104" t="s">
        <v>229</v>
      </c>
      <c r="K220" s="105" t="s">
        <v>277</v>
      </c>
      <c r="L220" s="104">
        <v>1</v>
      </c>
      <c r="M220" s="106">
        <v>11097.66</v>
      </c>
      <c r="N220" s="106">
        <f>699.44+2505.16</f>
        <v>3204.6</v>
      </c>
      <c r="O220" s="106">
        <v>9793.28</v>
      </c>
      <c r="P220" s="106"/>
      <c r="Q220" s="106">
        <v>511.7</v>
      </c>
      <c r="R220" s="106">
        <f t="shared" si="27"/>
        <v>24607.24</v>
      </c>
      <c r="S220" s="29">
        <f t="shared" si="26"/>
        <v>7.559999999997672</v>
      </c>
    </row>
    <row r="221" spans="1:19" ht="31.5" customHeight="1">
      <c r="A221" s="76" t="s">
        <v>227</v>
      </c>
      <c r="B221" s="76">
        <v>16</v>
      </c>
      <c r="C221" s="115" t="s">
        <v>280</v>
      </c>
      <c r="D221" s="117">
        <v>24614.8</v>
      </c>
      <c r="E221" s="116" t="s">
        <v>228</v>
      </c>
      <c r="F221" s="118">
        <v>24614.8</v>
      </c>
      <c r="G221" s="78">
        <f t="shared" si="25"/>
        <v>0</v>
      </c>
      <c r="H221" s="148" t="s">
        <v>267</v>
      </c>
      <c r="I221" s="104" t="s">
        <v>67</v>
      </c>
      <c r="J221" s="104"/>
      <c r="K221" s="105" t="s">
        <v>281</v>
      </c>
      <c r="L221" s="104">
        <v>1</v>
      </c>
      <c r="M221" s="106">
        <v>11097.66</v>
      </c>
      <c r="N221" s="106">
        <v>2505.16</v>
      </c>
      <c r="O221" s="106">
        <v>7956.48</v>
      </c>
      <c r="P221" s="106"/>
      <c r="Q221" s="106">
        <f>1895.74+511.7</f>
        <v>2407.44</v>
      </c>
      <c r="R221" s="106">
        <f t="shared" si="27"/>
        <v>23966.739999999998</v>
      </c>
      <c r="S221" s="29">
        <f t="shared" si="26"/>
        <v>648.0600000000013</v>
      </c>
    </row>
    <row r="222" spans="1:19" ht="31.5" customHeight="1">
      <c r="A222" s="76" t="s">
        <v>227</v>
      </c>
      <c r="B222" s="76">
        <v>16</v>
      </c>
      <c r="C222" s="115" t="s">
        <v>280</v>
      </c>
      <c r="D222" s="117">
        <v>24614.8</v>
      </c>
      <c r="E222" s="116" t="s">
        <v>228</v>
      </c>
      <c r="F222" s="118">
        <v>24614.8</v>
      </c>
      <c r="G222" s="78">
        <f t="shared" si="25"/>
        <v>0</v>
      </c>
      <c r="H222" s="148" t="s">
        <v>267</v>
      </c>
      <c r="I222" s="104" t="s">
        <v>67</v>
      </c>
      <c r="J222" s="104" t="s">
        <v>229</v>
      </c>
      <c r="K222" s="105" t="s">
        <v>278</v>
      </c>
      <c r="L222" s="104">
        <v>1</v>
      </c>
      <c r="M222" s="106">
        <v>17123.96</v>
      </c>
      <c r="N222" s="106">
        <v>2391.76</v>
      </c>
      <c r="O222" s="106">
        <v>2301.74</v>
      </c>
      <c r="P222" s="106"/>
      <c r="Q222" s="106">
        <v>488.46</v>
      </c>
      <c r="R222" s="106">
        <f t="shared" si="27"/>
        <v>22305.92</v>
      </c>
      <c r="S222" s="29">
        <f t="shared" si="26"/>
        <v>2308.880000000001</v>
      </c>
    </row>
    <row r="223" spans="1:19" ht="31.5" customHeight="1">
      <c r="A223" s="76" t="s">
        <v>227</v>
      </c>
      <c r="B223" s="76">
        <v>16</v>
      </c>
      <c r="C223" s="115" t="s">
        <v>280</v>
      </c>
      <c r="D223" s="117">
        <v>24614.8</v>
      </c>
      <c r="E223" s="116" t="s">
        <v>243</v>
      </c>
      <c r="F223" s="118">
        <v>24614.8</v>
      </c>
      <c r="G223" s="78">
        <f t="shared" si="25"/>
        <v>0</v>
      </c>
      <c r="H223" s="57" t="s">
        <v>243</v>
      </c>
      <c r="I223" s="80" t="s">
        <v>128</v>
      </c>
      <c r="J223" s="80" t="s">
        <v>235</v>
      </c>
      <c r="K223" s="146" t="s">
        <v>282</v>
      </c>
      <c r="L223" s="119">
        <v>9</v>
      </c>
      <c r="M223" s="121">
        <f>969.71*14</f>
        <v>13575.94</v>
      </c>
      <c r="N223" s="121">
        <f>(245.49+44.85+42.8+129.32+136.15)*14</f>
        <v>8380.54</v>
      </c>
      <c r="O223" s="121">
        <f>171.99*14</f>
        <v>2407.86</v>
      </c>
      <c r="P223" s="121"/>
      <c r="Q223" s="121"/>
      <c r="R223" s="121">
        <f aca="true" t="shared" si="28" ref="R223:R235">M223+N223+O223+P223+Q223</f>
        <v>24364.340000000004</v>
      </c>
      <c r="S223" s="29">
        <f t="shared" si="26"/>
        <v>250.4599999999955</v>
      </c>
    </row>
    <row r="224" spans="1:19" ht="31.5" customHeight="1">
      <c r="A224" s="76" t="s">
        <v>227</v>
      </c>
      <c r="B224" s="76">
        <v>16</v>
      </c>
      <c r="C224" s="115" t="s">
        <v>280</v>
      </c>
      <c r="D224" s="117">
        <v>24614.8</v>
      </c>
      <c r="E224" s="116" t="s">
        <v>243</v>
      </c>
      <c r="F224" s="118">
        <v>24614.8</v>
      </c>
      <c r="G224" s="78">
        <f t="shared" si="25"/>
        <v>0</v>
      </c>
      <c r="H224" s="57" t="s">
        <v>243</v>
      </c>
      <c r="I224" s="80" t="s">
        <v>128</v>
      </c>
      <c r="J224" s="80" t="s">
        <v>235</v>
      </c>
      <c r="K224" s="146" t="s">
        <v>244</v>
      </c>
      <c r="L224" s="119">
        <v>14</v>
      </c>
      <c r="M224" s="121">
        <f>1033.62*14</f>
        <v>14470.679999999998</v>
      </c>
      <c r="N224" s="121">
        <f>232.69*14+44.85*14+42.83*14+1.11*14+1.17*14</f>
        <v>4517.1</v>
      </c>
      <c r="O224" s="121">
        <f>384.04*14</f>
        <v>5376.56</v>
      </c>
      <c r="P224" s="121"/>
      <c r="Q224" s="121"/>
      <c r="R224" s="121">
        <f t="shared" si="28"/>
        <v>24364.34</v>
      </c>
      <c r="S224" s="29">
        <f t="shared" si="26"/>
        <v>250.45999999999913</v>
      </c>
    </row>
    <row r="225" spans="1:19" ht="31.5" customHeight="1">
      <c r="A225" s="76" t="s">
        <v>227</v>
      </c>
      <c r="B225" s="76">
        <v>16</v>
      </c>
      <c r="C225" s="115" t="s">
        <v>280</v>
      </c>
      <c r="D225" s="117">
        <v>24614.8</v>
      </c>
      <c r="E225" s="116" t="s">
        <v>243</v>
      </c>
      <c r="F225" s="118">
        <v>24614.8</v>
      </c>
      <c r="G225" s="78">
        <f t="shared" si="25"/>
        <v>0</v>
      </c>
      <c r="H225" s="57" t="s">
        <v>243</v>
      </c>
      <c r="I225" s="80" t="s">
        <v>128</v>
      </c>
      <c r="J225" s="80" t="s">
        <v>235</v>
      </c>
      <c r="K225" s="146" t="s">
        <v>244</v>
      </c>
      <c r="L225" s="119">
        <v>6</v>
      </c>
      <c r="M225" s="121">
        <f>1033.62*14</f>
        <v>14470.679999999998</v>
      </c>
      <c r="N225" s="121">
        <f>(288.3+44.85+36.45+19.45+20.47)*14</f>
        <v>5733.28</v>
      </c>
      <c r="O225" s="121">
        <f>297.14*14</f>
        <v>4159.96</v>
      </c>
      <c r="P225" s="121"/>
      <c r="Q225" s="121"/>
      <c r="R225" s="121">
        <f t="shared" si="28"/>
        <v>24363.92</v>
      </c>
      <c r="S225" s="29">
        <f t="shared" si="26"/>
        <v>250.88000000000102</v>
      </c>
    </row>
    <row r="226" spans="1:19" ht="31.5" customHeight="1">
      <c r="A226" s="76" t="s">
        <v>227</v>
      </c>
      <c r="B226" s="76">
        <v>16</v>
      </c>
      <c r="C226" s="115" t="s">
        <v>280</v>
      </c>
      <c r="D226" s="117">
        <v>24614.8</v>
      </c>
      <c r="E226" s="116" t="s">
        <v>256</v>
      </c>
      <c r="F226" s="118">
        <v>24614.8</v>
      </c>
      <c r="G226" s="78">
        <f t="shared" si="25"/>
        <v>0</v>
      </c>
      <c r="H226" s="148" t="s">
        <v>267</v>
      </c>
      <c r="I226" s="119" t="s">
        <v>100</v>
      </c>
      <c r="J226" s="80" t="s">
        <v>257</v>
      </c>
      <c r="K226" s="120" t="s">
        <v>283</v>
      </c>
      <c r="L226" s="80">
        <v>24</v>
      </c>
      <c r="M226" s="121">
        <v>22945.02</v>
      </c>
      <c r="N226" s="28">
        <v>694.82</v>
      </c>
      <c r="O226" s="28">
        <v>558.46</v>
      </c>
      <c r="P226" s="28"/>
      <c r="Q226" s="28">
        <v>321.36</v>
      </c>
      <c r="R226" s="28">
        <f t="shared" si="28"/>
        <v>24519.66</v>
      </c>
      <c r="S226" s="29">
        <f t="shared" si="26"/>
        <v>95.13999999999942</v>
      </c>
    </row>
    <row r="227" spans="1:19" ht="31.5" customHeight="1">
      <c r="A227" s="76" t="s">
        <v>227</v>
      </c>
      <c r="B227" s="76">
        <v>16</v>
      </c>
      <c r="C227" s="115" t="s">
        <v>280</v>
      </c>
      <c r="D227" s="117">
        <v>24614.8</v>
      </c>
      <c r="E227" s="116" t="s">
        <v>256</v>
      </c>
      <c r="F227" s="118">
        <v>24614.8</v>
      </c>
      <c r="G227" s="78">
        <f t="shared" si="25"/>
        <v>0</v>
      </c>
      <c r="H227" s="148" t="s">
        <v>267</v>
      </c>
      <c r="I227" s="119" t="s">
        <v>100</v>
      </c>
      <c r="J227" s="80" t="s">
        <v>257</v>
      </c>
      <c r="K227" s="120" t="s">
        <v>284</v>
      </c>
      <c r="L227" s="80">
        <v>8</v>
      </c>
      <c r="M227" s="121">
        <v>22204.14</v>
      </c>
      <c r="N227" s="28">
        <v>719.04</v>
      </c>
      <c r="O227" s="28">
        <v>1270.22</v>
      </c>
      <c r="P227" s="28"/>
      <c r="Q227" s="28">
        <v>321.36</v>
      </c>
      <c r="R227" s="28">
        <f t="shared" si="28"/>
        <v>24514.760000000002</v>
      </c>
      <c r="S227" s="29">
        <f t="shared" si="26"/>
        <v>100.03999999999724</v>
      </c>
    </row>
    <row r="228" spans="1:19" ht="31.5" customHeight="1">
      <c r="A228" s="76" t="s">
        <v>227</v>
      </c>
      <c r="B228" s="76">
        <v>16</v>
      </c>
      <c r="C228" s="115" t="s">
        <v>280</v>
      </c>
      <c r="D228" s="117">
        <v>24614.8</v>
      </c>
      <c r="E228" s="116" t="s">
        <v>256</v>
      </c>
      <c r="F228" s="118">
        <v>24614.8</v>
      </c>
      <c r="G228" s="78">
        <f t="shared" si="25"/>
        <v>0</v>
      </c>
      <c r="H228" s="148" t="s">
        <v>267</v>
      </c>
      <c r="I228" s="80" t="s">
        <v>104</v>
      </c>
      <c r="J228" s="80" t="s">
        <v>257</v>
      </c>
      <c r="K228" s="122" t="s">
        <v>285</v>
      </c>
      <c r="L228" s="80">
        <v>5</v>
      </c>
      <c r="M228" s="28">
        <v>17323.88</v>
      </c>
      <c r="N228" s="28">
        <f>304.78+141.4+356.58+1022.14+1076.32</f>
        <v>2901.2200000000003</v>
      </c>
      <c r="O228" s="28">
        <f>3190.18+1224.44</f>
        <v>4414.62</v>
      </c>
      <c r="P228" s="28"/>
      <c r="Q228" s="28"/>
      <c r="R228" s="28">
        <f t="shared" si="28"/>
        <v>24639.72</v>
      </c>
      <c r="S228" s="29">
        <f t="shared" si="26"/>
        <v>-24.92000000000189</v>
      </c>
    </row>
    <row r="229" spans="1:19" ht="31.5" customHeight="1">
      <c r="A229" s="76" t="s">
        <v>227</v>
      </c>
      <c r="B229" s="76">
        <v>16</v>
      </c>
      <c r="C229" s="115" t="s">
        <v>280</v>
      </c>
      <c r="D229" s="117">
        <v>24614.8</v>
      </c>
      <c r="E229" s="116" t="s">
        <v>256</v>
      </c>
      <c r="F229" s="118">
        <v>24614.8</v>
      </c>
      <c r="G229" s="78">
        <f t="shared" si="25"/>
        <v>0</v>
      </c>
      <c r="H229" s="148" t="s">
        <v>267</v>
      </c>
      <c r="I229" s="80" t="s">
        <v>104</v>
      </c>
      <c r="J229" s="80" t="s">
        <v>257</v>
      </c>
      <c r="K229" s="122" t="s">
        <v>286</v>
      </c>
      <c r="L229" s="80">
        <v>1</v>
      </c>
      <c r="M229" s="28">
        <v>17861.62</v>
      </c>
      <c r="N229" s="28">
        <f>301.14+143.08+360.78</f>
        <v>805</v>
      </c>
      <c r="O229" s="28">
        <f>3441.48+3135.58</f>
        <v>6577.0599999999995</v>
      </c>
      <c r="P229" s="28"/>
      <c r="Q229" s="28"/>
      <c r="R229" s="28">
        <f t="shared" si="28"/>
        <v>25243.68</v>
      </c>
      <c r="S229" s="29">
        <f t="shared" si="26"/>
        <v>-628.880000000001</v>
      </c>
    </row>
    <row r="230" spans="1:19" ht="31.5" customHeight="1">
      <c r="A230" s="76" t="s">
        <v>227</v>
      </c>
      <c r="B230" s="76">
        <v>16</v>
      </c>
      <c r="C230" s="115" t="s">
        <v>280</v>
      </c>
      <c r="D230" s="117">
        <v>24614.8</v>
      </c>
      <c r="E230" s="116" t="s">
        <v>256</v>
      </c>
      <c r="F230" s="118">
        <v>24614.8</v>
      </c>
      <c r="G230" s="78">
        <f t="shared" si="25"/>
        <v>0</v>
      </c>
      <c r="H230" s="148" t="s">
        <v>267</v>
      </c>
      <c r="I230" s="119" t="s">
        <v>100</v>
      </c>
      <c r="J230" s="80" t="s">
        <v>257</v>
      </c>
      <c r="K230" s="120" t="s">
        <v>287</v>
      </c>
      <c r="L230" s="80">
        <v>2</v>
      </c>
      <c r="M230" s="121">
        <v>22155.56</v>
      </c>
      <c r="N230" s="28">
        <v>720.72</v>
      </c>
      <c r="O230" s="28">
        <v>1316.98</v>
      </c>
      <c r="P230" s="28"/>
      <c r="Q230" s="28">
        <v>321.36</v>
      </c>
      <c r="R230" s="28">
        <f t="shared" si="28"/>
        <v>24514.620000000003</v>
      </c>
      <c r="S230" s="29">
        <f t="shared" si="26"/>
        <v>100.17999999999665</v>
      </c>
    </row>
    <row r="231" spans="1:19" ht="31.5" customHeight="1">
      <c r="A231" s="76" t="s">
        <v>227</v>
      </c>
      <c r="B231" s="76">
        <v>16</v>
      </c>
      <c r="C231" s="115" t="s">
        <v>280</v>
      </c>
      <c r="D231" s="117">
        <v>24614.8</v>
      </c>
      <c r="E231" s="116" t="s">
        <v>256</v>
      </c>
      <c r="F231" s="118">
        <v>24614.8</v>
      </c>
      <c r="G231" s="78">
        <f t="shared" si="25"/>
        <v>0</v>
      </c>
      <c r="H231" s="148" t="s">
        <v>267</v>
      </c>
      <c r="I231" s="119" t="s">
        <v>100</v>
      </c>
      <c r="J231" s="80" t="s">
        <v>257</v>
      </c>
      <c r="K231" s="120" t="s">
        <v>288</v>
      </c>
      <c r="L231" s="80">
        <v>2</v>
      </c>
      <c r="M231" s="121">
        <v>21028</v>
      </c>
      <c r="N231" s="28">
        <v>760.62</v>
      </c>
      <c r="O231" s="28">
        <v>2397.08</v>
      </c>
      <c r="P231" s="28"/>
      <c r="Q231" s="28">
        <v>321.36</v>
      </c>
      <c r="R231" s="28">
        <f t="shared" si="28"/>
        <v>24507.059999999998</v>
      </c>
      <c r="S231" s="29">
        <f t="shared" si="26"/>
        <v>107.7400000000016</v>
      </c>
    </row>
    <row r="232" spans="1:19" ht="31.5" customHeight="1">
      <c r="A232" s="76" t="s">
        <v>227</v>
      </c>
      <c r="B232" s="76">
        <v>16</v>
      </c>
      <c r="C232" s="115" t="s">
        <v>280</v>
      </c>
      <c r="D232" s="117">
        <v>24614.8</v>
      </c>
      <c r="E232" s="116" t="s">
        <v>256</v>
      </c>
      <c r="F232" s="118">
        <v>24614.8</v>
      </c>
      <c r="G232" s="78">
        <f t="shared" si="25"/>
        <v>0</v>
      </c>
      <c r="H232" s="148" t="s">
        <v>267</v>
      </c>
      <c r="I232" s="80" t="s">
        <v>117</v>
      </c>
      <c r="J232" s="80" t="s">
        <v>257</v>
      </c>
      <c r="K232" s="108" t="s">
        <v>289</v>
      </c>
      <c r="L232" s="80">
        <v>5</v>
      </c>
      <c r="M232" s="28">
        <f>1398.2*14</f>
        <v>19574.8</v>
      </c>
      <c r="N232" s="28">
        <f>53.45*12+22.79*14+144.34*12+183.05*12</f>
        <v>4889.14</v>
      </c>
      <c r="O232" s="28"/>
      <c r="P232" s="28"/>
      <c r="Q232" s="28"/>
      <c r="R232" s="28">
        <f t="shared" si="28"/>
        <v>24463.94</v>
      </c>
      <c r="S232" s="29">
        <f t="shared" si="26"/>
        <v>150.86000000000058</v>
      </c>
    </row>
    <row r="233" spans="1:19" ht="31.5" customHeight="1">
      <c r="A233" s="76" t="s">
        <v>227</v>
      </c>
      <c r="B233" s="76">
        <v>16</v>
      </c>
      <c r="C233" s="115" t="s">
        <v>280</v>
      </c>
      <c r="D233" s="117">
        <v>24614.8</v>
      </c>
      <c r="E233" s="116" t="s">
        <v>247</v>
      </c>
      <c r="F233" s="118">
        <v>24614.8</v>
      </c>
      <c r="G233" s="78">
        <f t="shared" si="25"/>
        <v>0</v>
      </c>
      <c r="H233" s="57" t="s">
        <v>247</v>
      </c>
      <c r="I233" s="131" t="s">
        <v>117</v>
      </c>
      <c r="J233" s="131" t="s">
        <v>248</v>
      </c>
      <c r="K233" s="132" t="s">
        <v>290</v>
      </c>
      <c r="L233" s="131">
        <f>176+158.24</f>
        <v>334.24</v>
      </c>
      <c r="M233" s="133">
        <f>1328.32*14</f>
        <v>18596.48</v>
      </c>
      <c r="N233" s="133">
        <f>53.45*12+22.79*14+107.41*12</f>
        <v>2249.38</v>
      </c>
      <c r="O233" s="133">
        <f>223.86*14</f>
        <v>3134.04</v>
      </c>
      <c r="P233" s="133"/>
      <c r="Q233" s="133"/>
      <c r="R233" s="133">
        <f t="shared" si="28"/>
        <v>23979.9</v>
      </c>
      <c r="S233" s="29">
        <f t="shared" si="26"/>
        <v>634.8999999999978</v>
      </c>
    </row>
    <row r="234" spans="1:19" ht="31.5" customHeight="1">
      <c r="A234" s="76" t="s">
        <v>227</v>
      </c>
      <c r="B234" s="76">
        <v>16</v>
      </c>
      <c r="C234" s="115" t="s">
        <v>280</v>
      </c>
      <c r="D234" s="117">
        <v>24614.8</v>
      </c>
      <c r="E234" s="116" t="s">
        <v>247</v>
      </c>
      <c r="F234" s="118">
        <v>24614.8</v>
      </c>
      <c r="G234" s="78">
        <f t="shared" si="25"/>
        <v>0</v>
      </c>
      <c r="H234" s="57" t="s">
        <v>247</v>
      </c>
      <c r="I234" s="80" t="s">
        <v>117</v>
      </c>
      <c r="J234" s="80" t="s">
        <v>248</v>
      </c>
      <c r="K234" s="108" t="s">
        <v>291</v>
      </c>
      <c r="L234" s="80">
        <f>4+10.52</f>
        <v>14.52</v>
      </c>
      <c r="M234" s="28">
        <f>1231.1*14</f>
        <v>17235.399999999998</v>
      </c>
      <c r="N234" s="28">
        <f>53.45*12+22.79*14+374.72*12</f>
        <v>5457.1</v>
      </c>
      <c r="O234" s="28">
        <f>90.4*14</f>
        <v>1265.6000000000001</v>
      </c>
      <c r="P234" s="28"/>
      <c r="Q234" s="28"/>
      <c r="R234" s="28">
        <f t="shared" si="28"/>
        <v>23958.1</v>
      </c>
      <c r="S234" s="29">
        <f t="shared" si="26"/>
        <v>656.7000000000007</v>
      </c>
    </row>
    <row r="235" spans="1:19" ht="31.5" customHeight="1">
      <c r="A235" s="76" t="s">
        <v>227</v>
      </c>
      <c r="B235" s="76">
        <v>16</v>
      </c>
      <c r="C235" s="115" t="s">
        <v>280</v>
      </c>
      <c r="D235" s="117">
        <v>24614.8</v>
      </c>
      <c r="E235" s="116" t="s">
        <v>247</v>
      </c>
      <c r="F235" s="118">
        <v>24614.8</v>
      </c>
      <c r="G235" s="78">
        <f t="shared" si="25"/>
        <v>0</v>
      </c>
      <c r="H235" s="57" t="s">
        <v>247</v>
      </c>
      <c r="I235" s="80" t="s">
        <v>117</v>
      </c>
      <c r="J235" s="80" t="s">
        <v>305</v>
      </c>
      <c r="K235" s="108" t="s">
        <v>306</v>
      </c>
      <c r="L235" s="80">
        <v>131</v>
      </c>
      <c r="M235" s="28">
        <f>1328.32*14</f>
        <v>18596.48</v>
      </c>
      <c r="N235" s="28">
        <f>53.45*12+22.79*14+140.58*12</f>
        <v>2647.42</v>
      </c>
      <c r="O235" s="28">
        <f>195.24*14</f>
        <v>2733.36</v>
      </c>
      <c r="P235" s="28"/>
      <c r="Q235" s="28"/>
      <c r="R235" s="28">
        <f t="shared" si="28"/>
        <v>23977.260000000002</v>
      </c>
      <c r="S235" s="29">
        <f t="shared" si="26"/>
        <v>637.5399999999972</v>
      </c>
    </row>
    <row r="236" spans="1:19" ht="31.5" customHeight="1">
      <c r="A236" s="76" t="s">
        <v>227</v>
      </c>
      <c r="B236" s="76">
        <v>16</v>
      </c>
      <c r="C236" s="115" t="s">
        <v>280</v>
      </c>
      <c r="D236" s="117">
        <v>24614.8</v>
      </c>
      <c r="E236" s="116" t="s">
        <v>247</v>
      </c>
      <c r="F236" s="118">
        <v>24614.8</v>
      </c>
      <c r="G236" s="78">
        <f t="shared" si="25"/>
        <v>0</v>
      </c>
      <c r="H236" s="57" t="s">
        <v>247</v>
      </c>
      <c r="I236" s="104" t="s">
        <v>67</v>
      </c>
      <c r="J236" s="104" t="s">
        <v>248</v>
      </c>
      <c r="K236" s="105" t="s">
        <v>292</v>
      </c>
      <c r="L236" s="104">
        <v>1</v>
      </c>
      <c r="M236" s="106">
        <v>17774.12</v>
      </c>
      <c r="N236" s="106">
        <f>319.06+6182.82</f>
        <v>6501.88</v>
      </c>
      <c r="O236" s="106">
        <v>4637.08</v>
      </c>
      <c r="P236" s="106"/>
      <c r="Q236" s="106"/>
      <c r="R236" s="106">
        <f>SUM(M236:Q236)</f>
        <v>28913.08</v>
      </c>
      <c r="S236" s="29">
        <f t="shared" si="26"/>
        <v>-4298.2800000000025</v>
      </c>
    </row>
    <row r="237" spans="1:19" ht="31.5" customHeight="1">
      <c r="A237" s="83"/>
      <c r="B237" s="83"/>
      <c r="C237" s="85"/>
      <c r="D237" s="84"/>
      <c r="E237" s="86"/>
      <c r="F237" s="87"/>
      <c r="G237" s="84"/>
      <c r="H237" s="88"/>
      <c r="I237" s="88"/>
      <c r="J237" s="89"/>
      <c r="K237" s="88"/>
      <c r="L237" s="90"/>
      <c r="M237" s="90"/>
      <c r="N237" s="90"/>
      <c r="O237" s="90"/>
      <c r="P237" s="90"/>
      <c r="Q237" s="90"/>
      <c r="R237" s="91"/>
      <c r="S237" s="29"/>
    </row>
    <row r="238" spans="1:19" ht="31.5" customHeight="1">
      <c r="A238" s="110"/>
      <c r="B238" s="110"/>
      <c r="C238" s="134"/>
      <c r="D238" s="118"/>
      <c r="E238" s="116"/>
      <c r="F238" s="118"/>
      <c r="G238" s="78"/>
      <c r="H238" s="116"/>
      <c r="I238" s="136"/>
      <c r="J238" s="136"/>
      <c r="K238" s="137"/>
      <c r="L238" s="136"/>
      <c r="M238" s="138"/>
      <c r="N238" s="138"/>
      <c r="O238" s="138"/>
      <c r="P238" s="138"/>
      <c r="Q238" s="138"/>
      <c r="R238" s="138"/>
      <c r="S238" s="29"/>
    </row>
    <row r="239" spans="1:19" ht="31.5" customHeight="1">
      <c r="A239" s="110"/>
      <c r="B239" s="110"/>
      <c r="C239" s="134"/>
      <c r="D239" s="118"/>
      <c r="E239" s="116"/>
      <c r="F239" s="118"/>
      <c r="G239" s="78"/>
      <c r="H239" s="116"/>
      <c r="I239" s="136"/>
      <c r="J239" s="136"/>
      <c r="K239" s="137"/>
      <c r="L239" s="136"/>
      <c r="M239" s="138"/>
      <c r="N239" s="138"/>
      <c r="O239" s="138"/>
      <c r="P239" s="138"/>
      <c r="Q239" s="138"/>
      <c r="R239" s="138"/>
      <c r="S239" s="29"/>
    </row>
    <row r="240" spans="1:19" ht="31.5" customHeight="1">
      <c r="A240" s="110"/>
      <c r="B240" s="110"/>
      <c r="C240" s="134"/>
      <c r="D240" s="118"/>
      <c r="E240" s="116"/>
      <c r="F240" s="118"/>
      <c r="G240" s="78"/>
      <c r="H240" s="116"/>
      <c r="I240" s="136"/>
      <c r="J240" s="136"/>
      <c r="K240" s="137"/>
      <c r="L240" s="136"/>
      <c r="M240" s="138"/>
      <c r="N240" s="138"/>
      <c r="O240" s="138"/>
      <c r="P240" s="138"/>
      <c r="Q240" s="138"/>
      <c r="R240" s="138"/>
      <c r="S240" s="29"/>
    </row>
    <row r="241" spans="1:19" ht="31.5" customHeight="1">
      <c r="A241" s="16"/>
      <c r="B241" s="16"/>
      <c r="C241" s="2"/>
      <c r="D241" s="1" t="s">
        <v>93</v>
      </c>
      <c r="E241" s="71"/>
      <c r="F241" s="72"/>
      <c r="G241" s="72"/>
      <c r="H241" s="16"/>
      <c r="I241" s="8"/>
      <c r="J241" s="22"/>
      <c r="M241" s="73" t="s">
        <v>94</v>
      </c>
      <c r="R241" s="73" t="s">
        <v>95</v>
      </c>
      <c r="S241" s="29"/>
    </row>
    <row r="242" spans="1:19" ht="31.5" customHeight="1">
      <c r="A242" s="110"/>
      <c r="B242" s="110"/>
      <c r="C242" s="110" t="s">
        <v>363</v>
      </c>
      <c r="D242" s="34" t="s">
        <v>77</v>
      </c>
      <c r="E242" s="70" t="s">
        <v>293</v>
      </c>
      <c r="F242" s="34" t="s">
        <v>78</v>
      </c>
      <c r="G242" s="34" t="s">
        <v>79</v>
      </c>
      <c r="H242" s="34" t="s">
        <v>80</v>
      </c>
      <c r="I242" s="35"/>
      <c r="J242" s="29"/>
      <c r="K242" s="29"/>
      <c r="L242" s="10"/>
      <c r="M242" s="9"/>
      <c r="N242" s="9"/>
      <c r="O242" s="9"/>
      <c r="P242" s="9"/>
      <c r="Q242" s="9"/>
      <c r="R242" s="9"/>
      <c r="S242" s="29"/>
    </row>
    <row r="243" spans="1:19" ht="31.5" customHeight="1">
      <c r="A243" s="16"/>
      <c r="B243" s="16"/>
      <c r="C243" s="2" t="s">
        <v>364</v>
      </c>
      <c r="D243" s="1" t="s">
        <v>16</v>
      </c>
      <c r="E243" s="71" t="s">
        <v>81</v>
      </c>
      <c r="F243" s="72" t="s">
        <v>82</v>
      </c>
      <c r="G243" s="72" t="s">
        <v>83</v>
      </c>
      <c r="H243" s="16"/>
      <c r="I243" s="8"/>
      <c r="J243" s="9"/>
      <c r="K243" s="9"/>
      <c r="L243" s="10"/>
      <c r="M243" s="9"/>
      <c r="N243" s="9"/>
      <c r="O243" s="9"/>
      <c r="P243" s="9"/>
      <c r="Q243" s="9"/>
      <c r="R243" s="9"/>
      <c r="S243" s="29"/>
    </row>
    <row r="244" spans="1:19" ht="31.5" customHeight="1">
      <c r="A244" s="76" t="s">
        <v>294</v>
      </c>
      <c r="B244" s="76">
        <v>18</v>
      </c>
      <c r="C244" s="76" t="s">
        <v>299</v>
      </c>
      <c r="D244" s="77">
        <v>25783.24</v>
      </c>
      <c r="E244" s="33" t="s">
        <v>295</v>
      </c>
      <c r="F244" s="34">
        <v>21571.76</v>
      </c>
      <c r="G244" s="78">
        <f>D244-F244</f>
        <v>4211.480000000003</v>
      </c>
      <c r="H244" s="79" t="s">
        <v>296</v>
      </c>
      <c r="I244" s="151" t="s">
        <v>100</v>
      </c>
      <c r="J244" s="151" t="s">
        <v>297</v>
      </c>
      <c r="K244" s="152" t="s">
        <v>298</v>
      </c>
      <c r="L244" s="151">
        <v>1</v>
      </c>
      <c r="M244" s="82">
        <v>36231.3</v>
      </c>
      <c r="N244" s="82">
        <v>434.42</v>
      </c>
      <c r="O244" s="82"/>
      <c r="P244" s="82"/>
      <c r="Q244" s="82">
        <v>321.36</v>
      </c>
      <c r="R244" s="82">
        <f>M244+N244+O244+P244+Q244</f>
        <v>36987.08</v>
      </c>
      <c r="S244" s="29">
        <f>D244-R244</f>
        <v>-11203.84</v>
      </c>
    </row>
    <row r="245" spans="1:19" ht="31.5" customHeight="1">
      <c r="A245" s="76" t="s">
        <v>294</v>
      </c>
      <c r="B245" s="76">
        <v>18</v>
      </c>
      <c r="C245" s="76" t="s">
        <v>299</v>
      </c>
      <c r="D245" s="77">
        <v>25783.24</v>
      </c>
      <c r="E245" s="33" t="s">
        <v>295</v>
      </c>
      <c r="F245" s="34">
        <v>21571.76</v>
      </c>
      <c r="G245" s="78">
        <f>D245-F245</f>
        <v>4211.480000000003</v>
      </c>
      <c r="H245" s="79" t="s">
        <v>296</v>
      </c>
      <c r="I245" s="80" t="s">
        <v>100</v>
      </c>
      <c r="J245" s="80" t="s">
        <v>297</v>
      </c>
      <c r="K245" s="176" t="s">
        <v>299</v>
      </c>
      <c r="L245" s="177">
        <v>1</v>
      </c>
      <c r="M245" s="178">
        <v>10255</v>
      </c>
      <c r="N245" s="178">
        <v>8616.5</v>
      </c>
      <c r="O245" s="178">
        <v>5800.2</v>
      </c>
      <c r="Q245" s="178">
        <v>627.9</v>
      </c>
      <c r="R245" s="179">
        <v>25299.68</v>
      </c>
      <c r="S245" s="29">
        <f>D245-R245</f>
        <v>483.5600000000013</v>
      </c>
    </row>
    <row r="246" spans="1:19" ht="31.5" customHeight="1">
      <c r="A246" s="76" t="s">
        <v>294</v>
      </c>
      <c r="B246" s="76">
        <v>18</v>
      </c>
      <c r="C246" s="76" t="s">
        <v>299</v>
      </c>
      <c r="D246" s="77">
        <v>25783.24</v>
      </c>
      <c r="E246" s="33" t="s">
        <v>295</v>
      </c>
      <c r="F246" s="34">
        <v>21571.76</v>
      </c>
      <c r="G246" s="78">
        <f>D246-F246</f>
        <v>4211.480000000003</v>
      </c>
      <c r="H246" s="79" t="s">
        <v>296</v>
      </c>
      <c r="I246" s="119" t="s">
        <v>100</v>
      </c>
      <c r="J246" s="80" t="s">
        <v>297</v>
      </c>
      <c r="K246" s="176" t="s">
        <v>300</v>
      </c>
      <c r="L246" s="177">
        <v>1</v>
      </c>
      <c r="M246" s="180">
        <v>8385.16</v>
      </c>
      <c r="N246" s="178">
        <v>8782.62</v>
      </c>
      <c r="O246" s="178">
        <v>5800.2</v>
      </c>
      <c r="P246" s="178"/>
      <c r="Q246" s="178">
        <v>627.9</v>
      </c>
      <c r="R246" s="179">
        <v>23575.88</v>
      </c>
      <c r="S246" s="29">
        <f>D246-R246</f>
        <v>2207.3600000000006</v>
      </c>
    </row>
    <row r="247" spans="1:19" ht="31.5" customHeight="1">
      <c r="A247" s="76" t="s">
        <v>294</v>
      </c>
      <c r="B247" s="76">
        <v>18</v>
      </c>
      <c r="C247" s="76" t="s">
        <v>299</v>
      </c>
      <c r="D247" s="77">
        <v>25783.24</v>
      </c>
      <c r="E247" s="33" t="s">
        <v>295</v>
      </c>
      <c r="F247" s="34">
        <v>21571.76</v>
      </c>
      <c r="G247" s="78">
        <f>D247-F247</f>
        <v>4211.480000000003</v>
      </c>
      <c r="H247" s="79" t="s">
        <v>296</v>
      </c>
      <c r="I247" s="80" t="s">
        <v>104</v>
      </c>
      <c r="J247" s="80" t="s">
        <v>297</v>
      </c>
      <c r="K247" s="122" t="s">
        <v>301</v>
      </c>
      <c r="L247" s="80">
        <v>5</v>
      </c>
      <c r="M247" s="28">
        <v>15413.16</v>
      </c>
      <c r="N247" s="28">
        <f>417.2+104.58+260.54+1399.3+1473.22</f>
        <v>3654.84</v>
      </c>
      <c r="O247" s="28">
        <f>2909.48+179.2+2811.9</f>
        <v>5900.58</v>
      </c>
      <c r="P247" s="28"/>
      <c r="Q247" s="28"/>
      <c r="R247" s="28">
        <f>M247+N247+O247+P247+Q247</f>
        <v>24968.58</v>
      </c>
      <c r="S247" s="29">
        <f>D247-R247</f>
        <v>814.6599999999999</v>
      </c>
    </row>
    <row r="248" spans="1:19" s="102" customFormat="1" ht="31.5" customHeight="1">
      <c r="A248" s="92" t="s">
        <v>294</v>
      </c>
      <c r="B248" s="92">
        <v>18</v>
      </c>
      <c r="C248" s="92" t="s">
        <v>299</v>
      </c>
      <c r="D248" s="94">
        <v>25783.24</v>
      </c>
      <c r="E248" s="93" t="s">
        <v>295</v>
      </c>
      <c r="F248" s="95">
        <v>21571.76</v>
      </c>
      <c r="G248" s="96">
        <f>D248-F248</f>
        <v>4211.480000000003</v>
      </c>
      <c r="H248" s="97" t="s">
        <v>296</v>
      </c>
      <c r="I248" s="100" t="s">
        <v>104</v>
      </c>
      <c r="J248" s="100" t="s">
        <v>297</v>
      </c>
      <c r="K248" s="114" t="s">
        <v>302</v>
      </c>
      <c r="L248" s="100">
        <v>2</v>
      </c>
      <c r="M248" s="101">
        <v>15413.16</v>
      </c>
      <c r="N248" s="101">
        <f>417.2+104.58+260.54+1399.3+1473.22</f>
        <v>3654.84</v>
      </c>
      <c r="O248" s="101">
        <f>2909.48+179.2+1978.9</f>
        <v>5067.58</v>
      </c>
      <c r="P248" s="101"/>
      <c r="Q248" s="101"/>
      <c r="R248" s="101">
        <f>M248+N248+O248+P248+Q248</f>
        <v>24135.58</v>
      </c>
      <c r="S248" s="150">
        <f>D248-R248</f>
        <v>1647.6599999999999</v>
      </c>
    </row>
    <row r="249" spans="1:19" ht="31.5" customHeight="1">
      <c r="A249" s="83"/>
      <c r="B249" s="83"/>
      <c r="C249" s="85"/>
      <c r="D249" s="84"/>
      <c r="E249" s="86"/>
      <c r="F249" s="87"/>
      <c r="G249" s="84"/>
      <c r="H249" s="88"/>
      <c r="I249" s="88"/>
      <c r="J249" s="89"/>
      <c r="K249" s="88"/>
      <c r="L249" s="90"/>
      <c r="M249" s="90"/>
      <c r="N249" s="90"/>
      <c r="O249" s="90"/>
      <c r="P249" s="90"/>
      <c r="Q249" s="90"/>
      <c r="R249" s="91"/>
      <c r="S249" s="29"/>
    </row>
    <row r="250" spans="1:8" ht="31.5" customHeight="1">
      <c r="A250" s="76" t="s">
        <v>294</v>
      </c>
      <c r="B250" s="76">
        <v>16</v>
      </c>
      <c r="C250" s="115" t="s">
        <v>381</v>
      </c>
      <c r="D250" s="77">
        <v>24064.04</v>
      </c>
      <c r="E250" s="33" t="s">
        <v>307</v>
      </c>
      <c r="F250" s="34">
        <v>21571.76</v>
      </c>
      <c r="G250" s="78">
        <f>D250-F250</f>
        <v>2492.2800000000025</v>
      </c>
      <c r="H250" s="79" t="s">
        <v>356</v>
      </c>
    </row>
    <row r="251" spans="1:19" ht="31.5" customHeight="1">
      <c r="A251" s="83"/>
      <c r="B251" s="83"/>
      <c r="C251" s="85"/>
      <c r="D251" s="84"/>
      <c r="E251" s="86"/>
      <c r="F251" s="87"/>
      <c r="G251" s="84"/>
      <c r="H251" s="88"/>
      <c r="I251" s="88"/>
      <c r="J251" s="89"/>
      <c r="K251" s="88"/>
      <c r="L251" s="90"/>
      <c r="M251" s="90"/>
      <c r="N251" s="90"/>
      <c r="O251" s="90"/>
      <c r="P251" s="90"/>
      <c r="Q251" s="90"/>
      <c r="R251" s="91"/>
      <c r="S251" s="29"/>
    </row>
    <row r="252" spans="1:19" ht="31.5" customHeight="1">
      <c r="A252" s="92" t="s">
        <v>294</v>
      </c>
      <c r="B252" s="92">
        <v>18</v>
      </c>
      <c r="C252" s="92" t="s">
        <v>300</v>
      </c>
      <c r="D252" s="94">
        <v>23433.48</v>
      </c>
      <c r="E252" s="33" t="s">
        <v>307</v>
      </c>
      <c r="F252" s="34">
        <v>21571.76</v>
      </c>
      <c r="G252" s="96">
        <f>D252-F252</f>
        <v>1861.7200000000012</v>
      </c>
      <c r="H252" s="97" t="s">
        <v>308</v>
      </c>
      <c r="I252" s="80"/>
      <c r="J252" s="80"/>
      <c r="K252" s="108"/>
      <c r="L252" s="80"/>
      <c r="M252" s="28"/>
      <c r="N252" s="28"/>
      <c r="O252" s="28"/>
      <c r="P252" s="28"/>
      <c r="Q252" s="28"/>
      <c r="R252" s="28"/>
      <c r="S252" s="29">
        <f>D252-R252</f>
        <v>23433.48</v>
      </c>
    </row>
    <row r="253" spans="1:19" ht="31.5" customHeight="1">
      <c r="A253" s="83"/>
      <c r="B253" s="83"/>
      <c r="C253" s="85"/>
      <c r="D253" s="84"/>
      <c r="E253" s="86"/>
      <c r="F253" s="87"/>
      <c r="G253" s="84"/>
      <c r="H253" s="88"/>
      <c r="I253" s="88"/>
      <c r="J253" s="89"/>
      <c r="K253" s="88"/>
      <c r="L253" s="90"/>
      <c r="M253" s="90"/>
      <c r="N253" s="90"/>
      <c r="O253" s="90"/>
      <c r="P253" s="90"/>
      <c r="Q253" s="90"/>
      <c r="R253" s="91"/>
      <c r="S253" s="29"/>
    </row>
    <row r="254" spans="1:19" ht="31.5" customHeight="1">
      <c r="A254" s="76" t="s">
        <v>294</v>
      </c>
      <c r="B254" s="76">
        <v>16</v>
      </c>
      <c r="C254" s="76" t="s">
        <v>382</v>
      </c>
      <c r="D254" s="77">
        <v>22257.9</v>
      </c>
      <c r="E254" s="33" t="s">
        <v>311</v>
      </c>
      <c r="F254" s="34">
        <v>21571.76</v>
      </c>
      <c r="G254" s="78">
        <f>D254-F254</f>
        <v>686.140000000003</v>
      </c>
      <c r="H254" s="79" t="s">
        <v>312</v>
      </c>
      <c r="I254" s="119" t="s">
        <v>100</v>
      </c>
      <c r="J254" s="156" t="s">
        <v>311</v>
      </c>
      <c r="K254" s="120" t="s">
        <v>313</v>
      </c>
      <c r="L254" s="80">
        <v>5</v>
      </c>
      <c r="M254" s="121">
        <v>22945.02</v>
      </c>
      <c r="N254" s="28">
        <v>694.82</v>
      </c>
      <c r="O254" s="28"/>
      <c r="P254" s="28"/>
      <c r="Q254" s="28"/>
      <c r="R254" s="28">
        <f>M254+N254+O254+P254+Q254</f>
        <v>23639.84</v>
      </c>
      <c r="S254" s="29">
        <f>D254-R254</f>
        <v>-1381.9399999999987</v>
      </c>
    </row>
    <row r="255" spans="1:19" s="102" customFormat="1" ht="31.5" customHeight="1">
      <c r="A255" s="92" t="s">
        <v>294</v>
      </c>
      <c r="B255" s="92">
        <v>16</v>
      </c>
      <c r="C255" s="92" t="s">
        <v>382</v>
      </c>
      <c r="D255" s="94">
        <v>22257.9</v>
      </c>
      <c r="E255" s="93" t="s">
        <v>311</v>
      </c>
      <c r="F255" s="95">
        <v>21571.76</v>
      </c>
      <c r="G255" s="96">
        <f>D255-F255</f>
        <v>686.140000000003</v>
      </c>
      <c r="H255" s="79" t="s">
        <v>312</v>
      </c>
      <c r="I255" s="100" t="s">
        <v>114</v>
      </c>
      <c r="J255" s="157" t="s">
        <v>311</v>
      </c>
      <c r="K255" s="147" t="s">
        <v>314</v>
      </c>
      <c r="L255" s="100">
        <v>1</v>
      </c>
      <c r="M255" s="101">
        <f>1278.01*14</f>
        <v>17892.14</v>
      </c>
      <c r="N255" s="101">
        <f>(93.66+10.63+11.2+103.5)*12</f>
        <v>2627.88</v>
      </c>
      <c r="O255" s="101"/>
      <c r="P255" s="101"/>
      <c r="Q255" s="101"/>
      <c r="R255" s="101">
        <f>SUM(M255:Q255)</f>
        <v>20520.02</v>
      </c>
      <c r="S255" s="29">
        <f>D255-R255</f>
        <v>1737.880000000001</v>
      </c>
    </row>
    <row r="256" spans="1:19" ht="31.5" customHeight="1">
      <c r="A256" s="76" t="s">
        <v>294</v>
      </c>
      <c r="B256" s="76">
        <v>16</v>
      </c>
      <c r="C256" s="76" t="s">
        <v>382</v>
      </c>
      <c r="D256" s="77">
        <v>22257.9</v>
      </c>
      <c r="E256" s="33" t="s">
        <v>311</v>
      </c>
      <c r="F256" s="34">
        <v>21571.76</v>
      </c>
      <c r="G256" s="78">
        <f>D256-F256</f>
        <v>686.140000000003</v>
      </c>
      <c r="H256" s="79" t="s">
        <v>312</v>
      </c>
      <c r="I256" s="119" t="s">
        <v>100</v>
      </c>
      <c r="J256" s="156" t="s">
        <v>311</v>
      </c>
      <c r="K256" s="165" t="s">
        <v>315</v>
      </c>
      <c r="L256" s="153">
        <v>1</v>
      </c>
      <c r="M256" s="166">
        <v>8285.16</v>
      </c>
      <c r="N256" s="167">
        <v>10702.02</v>
      </c>
      <c r="O256" s="167">
        <v>5141.08</v>
      </c>
      <c r="P256" s="167"/>
      <c r="Q256" s="167">
        <v>627.9</v>
      </c>
      <c r="R256" s="168">
        <v>24856.16</v>
      </c>
      <c r="S256" s="29">
        <f>D256-R256</f>
        <v>-2598.2599999999984</v>
      </c>
    </row>
    <row r="257" spans="1:19" ht="31.5" customHeight="1">
      <c r="A257" s="76" t="s">
        <v>294</v>
      </c>
      <c r="B257" s="76">
        <v>16</v>
      </c>
      <c r="C257" s="76" t="s">
        <v>382</v>
      </c>
      <c r="D257" s="77">
        <v>22257.9</v>
      </c>
      <c r="E257" s="33" t="s">
        <v>311</v>
      </c>
      <c r="F257" s="34">
        <v>21571.76</v>
      </c>
      <c r="G257" s="78">
        <f>D257-F257</f>
        <v>686.140000000003</v>
      </c>
      <c r="H257" s="79" t="s">
        <v>312</v>
      </c>
      <c r="I257" s="104" t="s">
        <v>67</v>
      </c>
      <c r="J257" s="156" t="s">
        <v>311</v>
      </c>
      <c r="K257" s="105" t="s">
        <v>313</v>
      </c>
      <c r="L257" s="104">
        <v>1</v>
      </c>
      <c r="M257" s="106">
        <v>15996.54</v>
      </c>
      <c r="N257" s="106">
        <f>319.06+6955.62</f>
        <v>7274.68</v>
      </c>
      <c r="O257" s="106">
        <v>2318.54</v>
      </c>
      <c r="P257" s="106"/>
      <c r="Q257" s="106"/>
      <c r="R257" s="106">
        <f>SUM(M257:Q257)</f>
        <v>25589.760000000002</v>
      </c>
      <c r="S257" s="29">
        <f>D257-R257</f>
        <v>-3331.8600000000006</v>
      </c>
    </row>
    <row r="258" spans="1:19" ht="31.5" customHeight="1">
      <c r="A258" s="76" t="s">
        <v>294</v>
      </c>
      <c r="B258" s="76">
        <v>16</v>
      </c>
      <c r="C258" s="76" t="s">
        <v>382</v>
      </c>
      <c r="D258" s="77">
        <v>22257.9</v>
      </c>
      <c r="E258" s="33" t="s">
        <v>311</v>
      </c>
      <c r="F258" s="34">
        <v>21571.76</v>
      </c>
      <c r="G258" s="78">
        <f>D258-F258</f>
        <v>686.140000000003</v>
      </c>
      <c r="H258" s="79" t="s">
        <v>312</v>
      </c>
      <c r="I258" s="131" t="s">
        <v>128</v>
      </c>
      <c r="J258" s="131" t="s">
        <v>316</v>
      </c>
      <c r="K258" s="122" t="s">
        <v>317</v>
      </c>
      <c r="L258" s="80">
        <v>4</v>
      </c>
      <c r="M258" s="28">
        <v>12464.48</v>
      </c>
      <c r="N258" s="28">
        <v>5200.86</v>
      </c>
      <c r="O258" s="28">
        <v>2108.68</v>
      </c>
      <c r="P258" s="28"/>
      <c r="Q258" s="28"/>
      <c r="R258" s="28">
        <f>SUM(M258:Q258)</f>
        <v>19774.02</v>
      </c>
      <c r="S258" s="29">
        <f>D258-R258</f>
        <v>2483.880000000001</v>
      </c>
    </row>
    <row r="259" spans="1:19" ht="31.5" customHeight="1">
      <c r="A259" s="83"/>
      <c r="B259" s="83"/>
      <c r="C259" s="85"/>
      <c r="D259" s="84"/>
      <c r="E259" s="86"/>
      <c r="F259" s="87"/>
      <c r="G259" s="84"/>
      <c r="H259" s="88"/>
      <c r="I259" s="88"/>
      <c r="J259" s="89"/>
      <c r="K259" s="88"/>
      <c r="L259" s="90"/>
      <c r="M259" s="90"/>
      <c r="N259" s="90"/>
      <c r="O259" s="90"/>
      <c r="P259" s="90"/>
      <c r="Q259" s="90"/>
      <c r="R259" s="91"/>
      <c r="S259" s="29"/>
    </row>
    <row r="260" spans="1:19" ht="31.5" customHeight="1">
      <c r="A260" s="76" t="s">
        <v>294</v>
      </c>
      <c r="B260" s="76">
        <v>16</v>
      </c>
      <c r="C260" s="76" t="s">
        <v>383</v>
      </c>
      <c r="D260" s="77">
        <v>22257.9</v>
      </c>
      <c r="E260" s="79" t="s">
        <v>318</v>
      </c>
      <c r="F260" s="34">
        <v>21571.76</v>
      </c>
      <c r="G260" s="78">
        <f aca="true" t="shared" si="29" ref="G260:G268">D260-F260</f>
        <v>686.140000000003</v>
      </c>
      <c r="H260" s="79" t="s">
        <v>319</v>
      </c>
      <c r="I260" s="80" t="s">
        <v>117</v>
      </c>
      <c r="J260" s="80" t="s">
        <v>320</v>
      </c>
      <c r="K260" s="108" t="s">
        <v>321</v>
      </c>
      <c r="L260" s="80">
        <f>170+25.46</f>
        <v>195.46</v>
      </c>
      <c r="M260" s="28">
        <f>1411.96*14</f>
        <v>19767.440000000002</v>
      </c>
      <c r="N260" s="28">
        <f>53.45*12+22.79*14+41.12*12</f>
        <v>1453.9</v>
      </c>
      <c r="O260" s="28">
        <f>105.54*14</f>
        <v>1477.5600000000002</v>
      </c>
      <c r="P260" s="28"/>
      <c r="Q260" s="28"/>
      <c r="R260" s="28">
        <f>M260+N260+O260+P260+Q260</f>
        <v>22698.900000000005</v>
      </c>
      <c r="S260" s="29">
        <f aca="true" t="shared" si="30" ref="S260:S268">D260-R260</f>
        <v>-441.00000000000364</v>
      </c>
    </row>
    <row r="261" spans="1:19" ht="31.5" customHeight="1">
      <c r="A261" s="76" t="s">
        <v>294</v>
      </c>
      <c r="B261" s="76">
        <v>16</v>
      </c>
      <c r="C261" s="76" t="s">
        <v>383</v>
      </c>
      <c r="D261" s="77">
        <v>22257.9</v>
      </c>
      <c r="E261" s="79" t="s">
        <v>318</v>
      </c>
      <c r="F261" s="34">
        <v>21571.76</v>
      </c>
      <c r="G261" s="78">
        <f t="shared" si="29"/>
        <v>686.140000000003</v>
      </c>
      <c r="H261" s="79" t="s">
        <v>319</v>
      </c>
      <c r="I261" s="119" t="s">
        <v>100</v>
      </c>
      <c r="J261" s="80" t="s">
        <v>320</v>
      </c>
      <c r="K261" s="120" t="s">
        <v>322</v>
      </c>
      <c r="L261" s="80">
        <v>1</v>
      </c>
      <c r="M261" s="121">
        <v>21028</v>
      </c>
      <c r="N261" s="28">
        <v>760.62</v>
      </c>
      <c r="O261" s="28">
        <v>33.6</v>
      </c>
      <c r="P261" s="28"/>
      <c r="Q261" s="28">
        <v>321.36</v>
      </c>
      <c r="R261" s="28">
        <f>M261+N261+O261+P261+Q261</f>
        <v>22143.579999999998</v>
      </c>
      <c r="S261" s="29">
        <f t="shared" si="30"/>
        <v>114.32000000000335</v>
      </c>
    </row>
    <row r="262" spans="1:19" ht="31.5" customHeight="1">
      <c r="A262" s="76" t="s">
        <v>294</v>
      </c>
      <c r="B262" s="76">
        <v>16</v>
      </c>
      <c r="C262" s="76" t="s">
        <v>383</v>
      </c>
      <c r="D262" s="77">
        <v>22257.9</v>
      </c>
      <c r="E262" s="79" t="s">
        <v>318</v>
      </c>
      <c r="F262" s="34">
        <v>21571.76</v>
      </c>
      <c r="G262" s="78">
        <f t="shared" si="29"/>
        <v>686.140000000003</v>
      </c>
      <c r="H262" s="79" t="s">
        <v>319</v>
      </c>
      <c r="I262" s="80" t="s">
        <v>117</v>
      </c>
      <c r="J262" s="80" t="s">
        <v>320</v>
      </c>
      <c r="K262" s="108" t="s">
        <v>323</v>
      </c>
      <c r="L262" s="80">
        <v>8</v>
      </c>
      <c r="M262" s="28">
        <f>1382.1*14</f>
        <v>19349.399999999998</v>
      </c>
      <c r="N262" s="28">
        <f>(53.45*12)+(89.4*12)+(22.79*14)</f>
        <v>2033.2600000000002</v>
      </c>
      <c r="O262" s="28"/>
      <c r="P262" s="28"/>
      <c r="Q262" s="28"/>
      <c r="R262" s="28">
        <f>SUM(M262:Q262)</f>
        <v>21382.659999999996</v>
      </c>
      <c r="S262" s="29">
        <f t="shared" si="30"/>
        <v>875.2400000000052</v>
      </c>
    </row>
    <row r="263" spans="1:19" ht="31.5" customHeight="1">
      <c r="A263" s="76" t="s">
        <v>294</v>
      </c>
      <c r="B263" s="76">
        <v>16</v>
      </c>
      <c r="C263" s="76" t="s">
        <v>383</v>
      </c>
      <c r="D263" s="77">
        <v>22257.9</v>
      </c>
      <c r="E263" s="79" t="s">
        <v>318</v>
      </c>
      <c r="F263" s="34">
        <v>21571.76</v>
      </c>
      <c r="G263" s="78">
        <f t="shared" si="29"/>
        <v>686.140000000003</v>
      </c>
      <c r="H263" s="79" t="s">
        <v>319</v>
      </c>
      <c r="I263" s="80" t="s">
        <v>117</v>
      </c>
      <c r="J263" s="80" t="s">
        <v>320</v>
      </c>
      <c r="K263" s="108" t="s">
        <v>324</v>
      </c>
      <c r="L263" s="80">
        <v>4</v>
      </c>
      <c r="M263" s="28">
        <f>1200.37*14</f>
        <v>16805.18</v>
      </c>
      <c r="N263" s="28">
        <f>53.45*12+22.79*14+118.72*12</f>
        <v>2385.1</v>
      </c>
      <c r="O263" s="28"/>
      <c r="P263" s="28"/>
      <c r="Q263" s="28"/>
      <c r="R263" s="28">
        <f>M263+N263+O263+P263+Q263</f>
        <v>19190.28</v>
      </c>
      <c r="S263" s="29">
        <f t="shared" si="30"/>
        <v>3067.6200000000026</v>
      </c>
    </row>
    <row r="264" spans="1:19" ht="31.5" customHeight="1">
      <c r="A264" s="76" t="s">
        <v>294</v>
      </c>
      <c r="B264" s="76">
        <v>16</v>
      </c>
      <c r="C264" s="76" t="s">
        <v>383</v>
      </c>
      <c r="D264" s="77">
        <v>22257.9</v>
      </c>
      <c r="E264" s="79" t="s">
        <v>318</v>
      </c>
      <c r="F264" s="34">
        <v>21571.76</v>
      </c>
      <c r="G264" s="78">
        <f t="shared" si="29"/>
        <v>686.140000000003</v>
      </c>
      <c r="H264" s="79" t="s">
        <v>319</v>
      </c>
      <c r="I264" s="119" t="s">
        <v>100</v>
      </c>
      <c r="J264" s="80" t="s">
        <v>320</v>
      </c>
      <c r="K264" s="120" t="s">
        <v>325</v>
      </c>
      <c r="L264" s="80">
        <v>5</v>
      </c>
      <c r="M264" s="121">
        <v>18852.54</v>
      </c>
      <c r="N264" s="28">
        <v>852.32</v>
      </c>
      <c r="O264" s="28">
        <v>2103.5</v>
      </c>
      <c r="P264" s="28"/>
      <c r="Q264" s="28">
        <v>321.36</v>
      </c>
      <c r="R264" s="28">
        <f>M264+N264+O264+P264+Q264</f>
        <v>22129.72</v>
      </c>
      <c r="S264" s="29">
        <f t="shared" si="30"/>
        <v>128.1800000000003</v>
      </c>
    </row>
    <row r="265" spans="1:19" ht="31.5" customHeight="1">
      <c r="A265" s="76" t="s">
        <v>294</v>
      </c>
      <c r="B265" s="76">
        <v>16</v>
      </c>
      <c r="C265" s="76" t="s">
        <v>383</v>
      </c>
      <c r="D265" s="77">
        <v>22257.9</v>
      </c>
      <c r="E265" s="79" t="s">
        <v>318</v>
      </c>
      <c r="F265" s="34">
        <v>21571.76</v>
      </c>
      <c r="G265" s="78">
        <f t="shared" si="29"/>
        <v>686.140000000003</v>
      </c>
      <c r="H265" s="79" t="s">
        <v>319</v>
      </c>
      <c r="I265" s="104" t="s">
        <v>67</v>
      </c>
      <c r="J265" s="104" t="s">
        <v>320</v>
      </c>
      <c r="K265" s="105" t="s">
        <v>326</v>
      </c>
      <c r="L265" s="104">
        <v>1</v>
      </c>
      <c r="M265" s="106">
        <v>9023.14</v>
      </c>
      <c r="N265" s="106">
        <f>319.06+2481.5+3846.22</f>
        <v>6646.78</v>
      </c>
      <c r="O265" s="106">
        <v>4819.5</v>
      </c>
      <c r="P265" s="106"/>
      <c r="Q265" s="106"/>
      <c r="R265" s="106">
        <f>SUM(M265:Q265)</f>
        <v>20489.42</v>
      </c>
      <c r="S265" s="29">
        <f t="shared" si="30"/>
        <v>1768.4800000000032</v>
      </c>
    </row>
    <row r="266" spans="1:19" ht="31.5" customHeight="1">
      <c r="A266" s="76" t="s">
        <v>294</v>
      </c>
      <c r="B266" s="76">
        <v>16</v>
      </c>
      <c r="C266" s="76" t="s">
        <v>383</v>
      </c>
      <c r="D266" s="77">
        <v>22257.9</v>
      </c>
      <c r="E266" s="79" t="s">
        <v>318</v>
      </c>
      <c r="F266" s="34">
        <v>21571.76</v>
      </c>
      <c r="G266" s="78">
        <f t="shared" si="29"/>
        <v>686.140000000003</v>
      </c>
      <c r="H266" s="79" t="s">
        <v>319</v>
      </c>
      <c r="I266" s="104" t="s">
        <v>67</v>
      </c>
      <c r="J266" s="104" t="s">
        <v>320</v>
      </c>
      <c r="K266" s="105" t="s">
        <v>327</v>
      </c>
      <c r="L266" s="104">
        <v>1</v>
      </c>
      <c r="M266" s="106">
        <v>11587.8</v>
      </c>
      <c r="N266" s="106">
        <f>319.06+1984.92+4510.24</f>
        <v>6814.219999999999</v>
      </c>
      <c r="O266" s="106">
        <v>5409.6</v>
      </c>
      <c r="P266" s="106"/>
      <c r="Q266" s="106"/>
      <c r="R266" s="106">
        <f>SUM(M266:Q266)</f>
        <v>23811.619999999995</v>
      </c>
      <c r="S266" s="29">
        <f t="shared" si="30"/>
        <v>-1553.719999999994</v>
      </c>
    </row>
    <row r="267" spans="1:19" ht="31.5" customHeight="1">
      <c r="A267" s="76" t="s">
        <v>294</v>
      </c>
      <c r="B267" s="76">
        <v>16</v>
      </c>
      <c r="C267" s="76" t="s">
        <v>383</v>
      </c>
      <c r="D267" s="77">
        <v>22257.9</v>
      </c>
      <c r="E267" s="79" t="s">
        <v>318</v>
      </c>
      <c r="F267" s="34">
        <v>21571.76</v>
      </c>
      <c r="G267" s="78">
        <f t="shared" si="29"/>
        <v>686.140000000003</v>
      </c>
      <c r="H267" s="79" t="s">
        <v>319</v>
      </c>
      <c r="I267" s="104" t="s">
        <v>67</v>
      </c>
      <c r="J267" s="104" t="s">
        <v>227</v>
      </c>
      <c r="K267" s="105" t="s">
        <v>328</v>
      </c>
      <c r="L267" s="104">
        <v>1</v>
      </c>
      <c r="M267" s="106">
        <v>11587.8</v>
      </c>
      <c r="N267" s="106">
        <f>319.06+1984.92+5506.62</f>
        <v>7810.6</v>
      </c>
      <c r="O267" s="106">
        <v>8849.54</v>
      </c>
      <c r="P267" s="106"/>
      <c r="Q267" s="106"/>
      <c r="R267" s="106">
        <f>SUM(M267:Q267)</f>
        <v>28247.940000000002</v>
      </c>
      <c r="S267" s="29">
        <f t="shared" si="30"/>
        <v>-5990.040000000001</v>
      </c>
    </row>
    <row r="268" spans="1:19" ht="31.5" customHeight="1">
      <c r="A268" s="76" t="s">
        <v>294</v>
      </c>
      <c r="B268" s="76">
        <v>16</v>
      </c>
      <c r="C268" s="76" t="s">
        <v>383</v>
      </c>
      <c r="D268" s="77">
        <v>22257.9</v>
      </c>
      <c r="E268" s="79" t="s">
        <v>318</v>
      </c>
      <c r="F268" s="34">
        <v>21571.76</v>
      </c>
      <c r="G268" s="78">
        <f t="shared" si="29"/>
        <v>686.140000000003</v>
      </c>
      <c r="H268" s="79" t="s">
        <v>319</v>
      </c>
      <c r="I268" s="80" t="s">
        <v>104</v>
      </c>
      <c r="J268" s="80" t="s">
        <v>320</v>
      </c>
      <c r="K268" s="122" t="s">
        <v>329</v>
      </c>
      <c r="L268" s="80">
        <v>1</v>
      </c>
      <c r="M268" s="28">
        <v>17323.88</v>
      </c>
      <c r="N268" s="28">
        <f>346.64+124.88+313.46</f>
        <v>784.98</v>
      </c>
      <c r="O268" s="28">
        <f>3185.84+1280.58</f>
        <v>4466.42</v>
      </c>
      <c r="P268" s="28"/>
      <c r="Q268" s="28"/>
      <c r="R268" s="28">
        <f>M268+N268+O268+P268+Q268</f>
        <v>22575.28</v>
      </c>
      <c r="S268" s="29">
        <f t="shared" si="30"/>
        <v>-317.3799999999974</v>
      </c>
    </row>
    <row r="269" spans="1:19" ht="31.5" customHeight="1">
      <c r="A269" s="83"/>
      <c r="B269" s="83"/>
      <c r="C269" s="85"/>
      <c r="D269" s="84"/>
      <c r="E269" s="86"/>
      <c r="F269" s="87"/>
      <c r="G269" s="84"/>
      <c r="H269" s="88"/>
      <c r="I269" s="88"/>
      <c r="J269" s="89"/>
      <c r="K269" s="88"/>
      <c r="L269" s="90"/>
      <c r="M269" s="90"/>
      <c r="N269" s="90"/>
      <c r="O269" s="90"/>
      <c r="P269" s="90"/>
      <c r="Q269" s="90"/>
      <c r="R269" s="91"/>
      <c r="S269" s="29"/>
    </row>
    <row r="270" spans="1:19" ht="31.5" customHeight="1">
      <c r="A270" s="76" t="s">
        <v>294</v>
      </c>
      <c r="B270" s="76">
        <v>14</v>
      </c>
      <c r="C270" s="76" t="s">
        <v>384</v>
      </c>
      <c r="D270" s="77">
        <v>21571.76</v>
      </c>
      <c r="E270" s="33" t="s">
        <v>304</v>
      </c>
      <c r="F270" s="34">
        <v>21571.76</v>
      </c>
      <c r="G270" s="78">
        <f>D270-F270</f>
        <v>0</v>
      </c>
      <c r="H270" s="109" t="s">
        <v>304</v>
      </c>
      <c r="I270" s="80" t="s">
        <v>117</v>
      </c>
      <c r="J270" s="80" t="s">
        <v>330</v>
      </c>
      <c r="K270" s="108" t="s">
        <v>330</v>
      </c>
      <c r="L270" s="80">
        <v>106.2</v>
      </c>
      <c r="M270" s="28">
        <f>1200.37*14</f>
        <v>16805.18</v>
      </c>
      <c r="N270" s="28">
        <f>53.45*12+22.79*14+126.75*12</f>
        <v>2481.46</v>
      </c>
      <c r="O270" s="28">
        <f>106.37*14</f>
        <v>1489.18</v>
      </c>
      <c r="P270" s="28"/>
      <c r="Q270" s="28"/>
      <c r="R270" s="28">
        <f>M270+N270+O270+P270+Q270</f>
        <v>20775.82</v>
      </c>
      <c r="S270" s="29">
        <f>D270-R270</f>
        <v>795.9399999999987</v>
      </c>
    </row>
    <row r="271" spans="1:19" ht="31.5" customHeight="1">
      <c r="A271" s="83"/>
      <c r="B271" s="83"/>
      <c r="C271" s="85"/>
      <c r="D271" s="84"/>
      <c r="E271" s="86"/>
      <c r="F271" s="87"/>
      <c r="G271" s="84"/>
      <c r="H271" s="88"/>
      <c r="I271" s="88"/>
      <c r="J271" s="89"/>
      <c r="K271" s="88"/>
      <c r="L271" s="90"/>
      <c r="M271" s="90"/>
      <c r="N271" s="90"/>
      <c r="O271" s="90"/>
      <c r="P271" s="90"/>
      <c r="Q271" s="90"/>
      <c r="R271" s="91"/>
      <c r="S271" s="29"/>
    </row>
    <row r="272" spans="1:19" s="102" customFormat="1" ht="31.5" customHeight="1">
      <c r="A272" s="92" t="s">
        <v>294</v>
      </c>
      <c r="B272" s="92">
        <v>14</v>
      </c>
      <c r="C272" s="92" t="s">
        <v>384</v>
      </c>
      <c r="D272" s="94">
        <v>21571.76</v>
      </c>
      <c r="E272" s="93" t="s">
        <v>295</v>
      </c>
      <c r="F272" s="95">
        <v>21571.76</v>
      </c>
      <c r="G272" s="96">
        <f aca="true" t="shared" si="31" ref="G272:G297">D272-F272</f>
        <v>0</v>
      </c>
      <c r="H272" s="97" t="s">
        <v>331</v>
      </c>
      <c r="I272" s="100" t="s">
        <v>114</v>
      </c>
      <c r="J272" s="100" t="s">
        <v>297</v>
      </c>
      <c r="K272" s="147" t="s">
        <v>332</v>
      </c>
      <c r="L272" s="100">
        <v>1</v>
      </c>
      <c r="M272" s="101">
        <f>1278.01*14</f>
        <v>17892.14</v>
      </c>
      <c r="N272" s="101">
        <f>R272-M272</f>
        <v>4792.619999999999</v>
      </c>
      <c r="O272" s="101"/>
      <c r="P272" s="101"/>
      <c r="Q272" s="101"/>
      <c r="R272" s="101">
        <v>22684.76</v>
      </c>
      <c r="S272" s="29">
        <f aca="true" t="shared" si="32" ref="S272:S297">D272-R272</f>
        <v>-1113</v>
      </c>
    </row>
    <row r="273" spans="1:19" s="102" customFormat="1" ht="31.5" customHeight="1">
      <c r="A273" s="92" t="s">
        <v>294</v>
      </c>
      <c r="B273" s="92">
        <v>14</v>
      </c>
      <c r="C273" s="92" t="s">
        <v>384</v>
      </c>
      <c r="D273" s="94">
        <v>21571.76</v>
      </c>
      <c r="E273" s="93" t="s">
        <v>295</v>
      </c>
      <c r="F273" s="95">
        <v>21571.76</v>
      </c>
      <c r="G273" s="96">
        <f t="shared" si="31"/>
        <v>0</v>
      </c>
      <c r="H273" s="97" t="s">
        <v>331</v>
      </c>
      <c r="I273" s="100" t="s">
        <v>114</v>
      </c>
      <c r="J273" s="100" t="s">
        <v>297</v>
      </c>
      <c r="K273" s="147" t="s">
        <v>332</v>
      </c>
      <c r="L273" s="100">
        <v>1</v>
      </c>
      <c r="M273" s="101">
        <f>1278.01*14</f>
        <v>17892.14</v>
      </c>
      <c r="N273" s="101">
        <f>(87.03*14)+12*(88.43+2.46+2.59+103.5)</f>
        <v>3582.1800000000003</v>
      </c>
      <c r="O273" s="101"/>
      <c r="P273" s="101"/>
      <c r="Q273" s="101"/>
      <c r="R273" s="101">
        <f>SUM(M273:Q273)</f>
        <v>21474.32</v>
      </c>
      <c r="S273" s="29">
        <f t="shared" si="32"/>
        <v>97.43999999999869</v>
      </c>
    </row>
    <row r="274" spans="1:19" s="102" customFormat="1" ht="31.5" customHeight="1">
      <c r="A274" s="92" t="s">
        <v>294</v>
      </c>
      <c r="B274" s="92">
        <v>14</v>
      </c>
      <c r="C274" s="92" t="s">
        <v>384</v>
      </c>
      <c r="D274" s="94">
        <v>21571.76</v>
      </c>
      <c r="E274" s="93" t="s">
        <v>295</v>
      </c>
      <c r="F274" s="95">
        <v>21571.76</v>
      </c>
      <c r="G274" s="96">
        <f t="shared" si="31"/>
        <v>0</v>
      </c>
      <c r="H274" s="97" t="s">
        <v>331</v>
      </c>
      <c r="I274" s="100" t="s">
        <v>114</v>
      </c>
      <c r="J274" s="100" t="s">
        <v>297</v>
      </c>
      <c r="K274" s="147" t="s">
        <v>333</v>
      </c>
      <c r="L274" s="100">
        <v>20</v>
      </c>
      <c r="M274" s="101">
        <f>1278.01*14</f>
        <v>17892.14</v>
      </c>
      <c r="N274" s="101">
        <f>(187.3+3.44+3.61+103.5)*12</f>
        <v>3574.2000000000003</v>
      </c>
      <c r="O274" s="101"/>
      <c r="P274" s="101"/>
      <c r="Q274" s="101"/>
      <c r="R274" s="101">
        <f>SUM(M274:Q274)</f>
        <v>21466.34</v>
      </c>
      <c r="S274" s="29">
        <f t="shared" si="32"/>
        <v>105.41999999999825</v>
      </c>
    </row>
    <row r="275" spans="1:19" ht="31.5" customHeight="1">
      <c r="A275" s="76" t="s">
        <v>294</v>
      </c>
      <c r="B275" s="76">
        <v>14</v>
      </c>
      <c r="C275" s="76" t="s">
        <v>384</v>
      </c>
      <c r="D275" s="77">
        <v>21571.76</v>
      </c>
      <c r="E275" s="33" t="s">
        <v>295</v>
      </c>
      <c r="F275" s="34">
        <v>21571.76</v>
      </c>
      <c r="G275" s="78">
        <f t="shared" si="31"/>
        <v>0</v>
      </c>
      <c r="H275" s="97" t="s">
        <v>331</v>
      </c>
      <c r="I275" s="119" t="s">
        <v>100</v>
      </c>
      <c r="J275" s="80" t="s">
        <v>297</v>
      </c>
      <c r="K275" s="120" t="s">
        <v>303</v>
      </c>
      <c r="L275" s="80">
        <v>13</v>
      </c>
      <c r="M275" s="121">
        <v>19215.56</v>
      </c>
      <c r="N275" s="28">
        <v>835.8</v>
      </c>
      <c r="O275" s="28">
        <v>1108.66</v>
      </c>
      <c r="P275" s="28"/>
      <c r="Q275" s="28">
        <v>321.36</v>
      </c>
      <c r="R275" s="28">
        <f>M275+N275+O275+P275+Q275</f>
        <v>21481.38</v>
      </c>
      <c r="S275" s="29">
        <f t="shared" si="32"/>
        <v>90.37999999999738</v>
      </c>
    </row>
    <row r="276" spans="1:19" ht="31.5" customHeight="1">
      <c r="A276" s="76" t="s">
        <v>294</v>
      </c>
      <c r="B276" s="76">
        <v>14</v>
      </c>
      <c r="C276" s="76" t="s">
        <v>384</v>
      </c>
      <c r="D276" s="77">
        <v>21571.76</v>
      </c>
      <c r="E276" s="33" t="s">
        <v>295</v>
      </c>
      <c r="F276" s="34">
        <v>21571.76</v>
      </c>
      <c r="G276" s="78">
        <f t="shared" si="31"/>
        <v>0</v>
      </c>
      <c r="H276" s="97" t="s">
        <v>331</v>
      </c>
      <c r="I276" s="119" t="s">
        <v>100</v>
      </c>
      <c r="J276" s="80" t="s">
        <v>297</v>
      </c>
      <c r="K276" s="165" t="s">
        <v>303</v>
      </c>
      <c r="L276" s="154">
        <v>2</v>
      </c>
      <c r="M276" s="121">
        <v>8385.16</v>
      </c>
      <c r="N276" s="28">
        <v>8077.3</v>
      </c>
      <c r="O276" s="28">
        <v>4481.26</v>
      </c>
      <c r="P276" s="9"/>
      <c r="Q276" s="28">
        <v>627.9</v>
      </c>
      <c r="R276" s="181">
        <v>21571.62</v>
      </c>
      <c r="S276" s="29">
        <f t="shared" si="32"/>
        <v>0.13999999999941792</v>
      </c>
    </row>
    <row r="277" spans="1:19" ht="31.5" customHeight="1">
      <c r="A277" s="76" t="s">
        <v>294</v>
      </c>
      <c r="B277" s="76">
        <v>14</v>
      </c>
      <c r="C277" s="76" t="s">
        <v>384</v>
      </c>
      <c r="D277" s="77">
        <v>21571.76</v>
      </c>
      <c r="E277" s="33" t="s">
        <v>295</v>
      </c>
      <c r="F277" s="34">
        <v>21571.76</v>
      </c>
      <c r="G277" s="78">
        <f t="shared" si="31"/>
        <v>0</v>
      </c>
      <c r="H277" s="97" t="s">
        <v>331</v>
      </c>
      <c r="I277" s="80" t="s">
        <v>117</v>
      </c>
      <c r="J277" s="80" t="s">
        <v>297</v>
      </c>
      <c r="K277" s="108" t="s">
        <v>303</v>
      </c>
      <c r="L277" s="80">
        <v>100</v>
      </c>
      <c r="M277" s="28">
        <f>1231.1*14</f>
        <v>17235.399999999998</v>
      </c>
      <c r="N277" s="28">
        <f>53.45*12+22.79*14+95.71*12</f>
        <v>2108.98</v>
      </c>
      <c r="O277" s="28">
        <f>150.26*14</f>
        <v>2103.64</v>
      </c>
      <c r="P277" s="28"/>
      <c r="Q277" s="28"/>
      <c r="R277" s="28">
        <f>M277+N277+O277+P277+Q277</f>
        <v>21448.019999999997</v>
      </c>
      <c r="S277" s="29">
        <f t="shared" si="32"/>
        <v>123.7400000000016</v>
      </c>
    </row>
    <row r="278" spans="1:19" ht="31.5" customHeight="1">
      <c r="A278" s="76" t="s">
        <v>294</v>
      </c>
      <c r="B278" s="76">
        <v>14</v>
      </c>
      <c r="C278" s="76" t="s">
        <v>384</v>
      </c>
      <c r="D278" s="77">
        <v>21571.76</v>
      </c>
      <c r="E278" s="33" t="s">
        <v>295</v>
      </c>
      <c r="F278" s="34">
        <v>21571.76</v>
      </c>
      <c r="G278" s="78">
        <f t="shared" si="31"/>
        <v>0</v>
      </c>
      <c r="H278" s="97" t="s">
        <v>331</v>
      </c>
      <c r="I278" s="80" t="s">
        <v>117</v>
      </c>
      <c r="J278" s="80" t="s">
        <v>297</v>
      </c>
      <c r="K278" s="108" t="s">
        <v>334</v>
      </c>
      <c r="L278" s="80">
        <f>150+15.58</f>
        <v>165.58</v>
      </c>
      <c r="M278" s="28">
        <f>1231.1*14</f>
        <v>17235.399999999998</v>
      </c>
      <c r="N278" s="28">
        <f>53.45*12+22.79*14+95.71*12</f>
        <v>2108.98</v>
      </c>
      <c r="O278" s="28">
        <f>150.26*14</f>
        <v>2103.64</v>
      </c>
      <c r="P278" s="28"/>
      <c r="Q278" s="28"/>
      <c r="R278" s="28">
        <f>M278+N278+O278+P278+Q278</f>
        <v>21448.019999999997</v>
      </c>
      <c r="S278" s="29">
        <f t="shared" si="32"/>
        <v>123.7400000000016</v>
      </c>
    </row>
    <row r="279" spans="1:19" ht="31.5" customHeight="1">
      <c r="A279" s="76" t="s">
        <v>294</v>
      </c>
      <c r="B279" s="76">
        <v>14</v>
      </c>
      <c r="C279" s="76" t="s">
        <v>384</v>
      </c>
      <c r="D279" s="77">
        <v>21571.76</v>
      </c>
      <c r="E279" s="33" t="s">
        <v>295</v>
      </c>
      <c r="F279" s="34">
        <v>21571.76</v>
      </c>
      <c r="G279" s="78">
        <f t="shared" si="31"/>
        <v>0</v>
      </c>
      <c r="H279" s="97" t="s">
        <v>331</v>
      </c>
      <c r="I279" s="80" t="s">
        <v>128</v>
      </c>
      <c r="J279" s="80" t="s">
        <v>297</v>
      </c>
      <c r="K279" s="158" t="s">
        <v>303</v>
      </c>
      <c r="L279" s="80">
        <v>1</v>
      </c>
      <c r="M279" s="28">
        <f>890.32*14</f>
        <v>12464.480000000001</v>
      </c>
      <c r="N279" s="28">
        <f>229.57*14+44.85*14+102.1*14+107.52*14</f>
        <v>6776.5599999999995</v>
      </c>
      <c r="O279" s="28">
        <f>150.62*14</f>
        <v>2108.6800000000003</v>
      </c>
      <c r="P279" s="28"/>
      <c r="Q279" s="28"/>
      <c r="R279" s="28">
        <f>M279+N279+O279+P279+Q279</f>
        <v>21349.72</v>
      </c>
      <c r="S279" s="29">
        <f t="shared" si="32"/>
        <v>222.03999999999724</v>
      </c>
    </row>
    <row r="280" spans="1:19" ht="31.5" customHeight="1">
      <c r="A280" s="76" t="s">
        <v>294</v>
      </c>
      <c r="B280" s="76">
        <v>14</v>
      </c>
      <c r="C280" s="76" t="s">
        <v>384</v>
      </c>
      <c r="D280" s="77">
        <v>21571.76</v>
      </c>
      <c r="E280" s="33" t="s">
        <v>295</v>
      </c>
      <c r="F280" s="34">
        <v>21571.76</v>
      </c>
      <c r="G280" s="78">
        <f t="shared" si="31"/>
        <v>0</v>
      </c>
      <c r="H280" s="97" t="s">
        <v>331</v>
      </c>
      <c r="I280" s="80" t="s">
        <v>117</v>
      </c>
      <c r="J280" s="80" t="s">
        <v>297</v>
      </c>
      <c r="K280" s="108" t="s">
        <v>335</v>
      </c>
      <c r="L280" s="80">
        <v>3</v>
      </c>
      <c r="M280" s="28">
        <f>1180.35*14</f>
        <v>16524.899999999998</v>
      </c>
      <c r="N280" s="28">
        <f>53.45*12+22.79*14</f>
        <v>960.46</v>
      </c>
      <c r="O280" s="28"/>
      <c r="P280" s="28"/>
      <c r="Q280" s="28"/>
      <c r="R280" s="28">
        <f>M280+N280+O280+P280+Q280</f>
        <v>17485.359999999997</v>
      </c>
      <c r="S280" s="29">
        <f t="shared" si="32"/>
        <v>4086.4000000000015</v>
      </c>
    </row>
    <row r="281" spans="1:19" ht="31.5" customHeight="1">
      <c r="A281" s="76" t="s">
        <v>294</v>
      </c>
      <c r="B281" s="76">
        <v>14</v>
      </c>
      <c r="C281" s="76" t="s">
        <v>384</v>
      </c>
      <c r="D281" s="77">
        <v>21571.76</v>
      </c>
      <c r="E281" s="33" t="s">
        <v>295</v>
      </c>
      <c r="F281" s="34">
        <v>21571.76</v>
      </c>
      <c r="G281" s="78">
        <f t="shared" si="31"/>
        <v>0</v>
      </c>
      <c r="H281" s="97" t="s">
        <v>331</v>
      </c>
      <c r="I281" s="104" t="s">
        <v>67</v>
      </c>
      <c r="J281" s="104" t="s">
        <v>297</v>
      </c>
      <c r="K281" s="105" t="s">
        <v>336</v>
      </c>
      <c r="L281" s="104">
        <v>1</v>
      </c>
      <c r="M281" s="106">
        <v>11097.66</v>
      </c>
      <c r="N281" s="106">
        <v>2505.16</v>
      </c>
      <c r="O281" s="106">
        <v>21127.4</v>
      </c>
      <c r="P281" s="106"/>
      <c r="Q281" s="106">
        <v>511.7</v>
      </c>
      <c r="R281" s="106">
        <f aca="true" t="shared" si="33" ref="R281:R293">SUM(M281:Q281)</f>
        <v>35241.92</v>
      </c>
      <c r="S281" s="29">
        <f t="shared" si="32"/>
        <v>-13670.16</v>
      </c>
    </row>
    <row r="282" spans="1:19" ht="31.5" customHeight="1">
      <c r="A282" s="76" t="s">
        <v>294</v>
      </c>
      <c r="B282" s="76">
        <v>14</v>
      </c>
      <c r="C282" s="76" t="s">
        <v>384</v>
      </c>
      <c r="D282" s="77">
        <v>21571.76</v>
      </c>
      <c r="E282" s="33" t="s">
        <v>295</v>
      </c>
      <c r="F282" s="34">
        <v>21571.76</v>
      </c>
      <c r="G282" s="78">
        <f t="shared" si="31"/>
        <v>0</v>
      </c>
      <c r="H282" s="97" t="s">
        <v>331</v>
      </c>
      <c r="I282" s="104" t="s">
        <v>67</v>
      </c>
      <c r="J282" s="104" t="s">
        <v>297</v>
      </c>
      <c r="K282" s="105" t="s">
        <v>336</v>
      </c>
      <c r="L282" s="104">
        <v>1</v>
      </c>
      <c r="M282" s="106">
        <v>11097.66</v>
      </c>
      <c r="N282" s="106">
        <v>2505.16</v>
      </c>
      <c r="O282" s="106">
        <v>17243.8</v>
      </c>
      <c r="P282" s="106"/>
      <c r="Q282" s="106">
        <v>511.7</v>
      </c>
      <c r="R282" s="106">
        <f t="shared" si="33"/>
        <v>31358.32</v>
      </c>
      <c r="S282" s="29">
        <f t="shared" si="32"/>
        <v>-9786.560000000001</v>
      </c>
    </row>
    <row r="283" spans="1:19" ht="31.5" customHeight="1">
      <c r="A283" s="76" t="s">
        <v>294</v>
      </c>
      <c r="B283" s="76">
        <v>14</v>
      </c>
      <c r="C283" s="76" t="s">
        <v>384</v>
      </c>
      <c r="D283" s="77">
        <v>21571.76</v>
      </c>
      <c r="E283" s="33" t="s">
        <v>295</v>
      </c>
      <c r="F283" s="34">
        <v>21571.76</v>
      </c>
      <c r="G283" s="78">
        <f t="shared" si="31"/>
        <v>0</v>
      </c>
      <c r="H283" s="97" t="s">
        <v>331</v>
      </c>
      <c r="I283" s="104" t="s">
        <v>67</v>
      </c>
      <c r="J283" s="104" t="s">
        <v>297</v>
      </c>
      <c r="K283" s="105" t="s">
        <v>336</v>
      </c>
      <c r="L283" s="104">
        <v>1</v>
      </c>
      <c r="M283" s="106">
        <v>9212.84</v>
      </c>
      <c r="N283" s="106">
        <v>5506.9</v>
      </c>
      <c r="O283" s="106">
        <v>7577.22</v>
      </c>
      <c r="P283" s="106"/>
      <c r="Q283" s="106">
        <v>632.24</v>
      </c>
      <c r="R283" s="106">
        <f t="shared" si="33"/>
        <v>22929.2</v>
      </c>
      <c r="S283" s="29">
        <f t="shared" si="32"/>
        <v>-1357.4400000000023</v>
      </c>
    </row>
    <row r="284" spans="1:19" ht="31.5" customHeight="1">
      <c r="A284" s="76" t="s">
        <v>294</v>
      </c>
      <c r="B284" s="76">
        <v>14</v>
      </c>
      <c r="C284" s="76" t="s">
        <v>384</v>
      </c>
      <c r="D284" s="77">
        <v>21571.76</v>
      </c>
      <c r="E284" s="33" t="s">
        <v>295</v>
      </c>
      <c r="F284" s="34">
        <v>21571.76</v>
      </c>
      <c r="G284" s="78">
        <f t="shared" si="31"/>
        <v>0</v>
      </c>
      <c r="H284" s="97" t="s">
        <v>331</v>
      </c>
      <c r="I284" s="104" t="s">
        <v>67</v>
      </c>
      <c r="J284" s="104" t="s">
        <v>297</v>
      </c>
      <c r="K284" s="105" t="s">
        <v>336</v>
      </c>
      <c r="L284" s="104">
        <v>1</v>
      </c>
      <c r="M284" s="106">
        <v>15996.54</v>
      </c>
      <c r="N284" s="106">
        <f>319.06+6182.82</f>
        <v>6501.88</v>
      </c>
      <c r="O284" s="106"/>
      <c r="P284" s="106"/>
      <c r="Q284" s="106"/>
      <c r="R284" s="106">
        <f t="shared" si="33"/>
        <v>22498.420000000002</v>
      </c>
      <c r="S284" s="29">
        <f t="shared" si="32"/>
        <v>-926.6600000000035</v>
      </c>
    </row>
    <row r="285" spans="1:19" ht="31.5" customHeight="1">
      <c r="A285" s="76" t="s">
        <v>294</v>
      </c>
      <c r="B285" s="76">
        <v>14</v>
      </c>
      <c r="C285" s="76" t="s">
        <v>384</v>
      </c>
      <c r="D285" s="77">
        <v>21571.76</v>
      </c>
      <c r="E285" s="33" t="s">
        <v>295</v>
      </c>
      <c r="F285" s="34">
        <v>21571.76</v>
      </c>
      <c r="G285" s="78">
        <f t="shared" si="31"/>
        <v>0</v>
      </c>
      <c r="H285" s="97" t="s">
        <v>331</v>
      </c>
      <c r="I285" s="104" t="s">
        <v>67</v>
      </c>
      <c r="J285" s="104" t="s">
        <v>297</v>
      </c>
      <c r="K285" s="105" t="s">
        <v>337</v>
      </c>
      <c r="L285" s="104">
        <v>1</v>
      </c>
      <c r="M285" s="106">
        <v>11343.64</v>
      </c>
      <c r="N285" s="106">
        <f>319.06+5012.14</f>
        <v>5331.200000000001</v>
      </c>
      <c r="O285" s="106">
        <v>5820.22</v>
      </c>
      <c r="P285" s="106"/>
      <c r="Q285" s="106"/>
      <c r="R285" s="106">
        <f t="shared" si="33"/>
        <v>22495.06</v>
      </c>
      <c r="S285" s="29">
        <f t="shared" si="32"/>
        <v>-923.3000000000029</v>
      </c>
    </row>
    <row r="286" spans="1:19" ht="31.5" customHeight="1">
      <c r="A286" s="76" t="s">
        <v>294</v>
      </c>
      <c r="B286" s="76">
        <v>14</v>
      </c>
      <c r="C286" s="76" t="s">
        <v>384</v>
      </c>
      <c r="D286" s="77">
        <v>21571.76</v>
      </c>
      <c r="E286" s="33" t="s">
        <v>295</v>
      </c>
      <c r="F286" s="34">
        <v>21571.76</v>
      </c>
      <c r="G286" s="78">
        <f t="shared" si="31"/>
        <v>0</v>
      </c>
      <c r="H286" s="97" t="s">
        <v>331</v>
      </c>
      <c r="I286" s="104" t="s">
        <v>67</v>
      </c>
      <c r="J286" s="104" t="s">
        <v>297</v>
      </c>
      <c r="K286" s="105" t="s">
        <v>336</v>
      </c>
      <c r="L286" s="104">
        <v>1</v>
      </c>
      <c r="M286" s="106">
        <v>11555.32</v>
      </c>
      <c r="N286" s="106">
        <f>5760.3+1839.88</f>
        <v>7600.18</v>
      </c>
      <c r="O286" s="106">
        <v>3064.32</v>
      </c>
      <c r="P286" s="106"/>
      <c r="Q286" s="106"/>
      <c r="R286" s="106">
        <f t="shared" si="33"/>
        <v>22219.82</v>
      </c>
      <c r="S286" s="29">
        <f t="shared" si="32"/>
        <v>-648.0600000000013</v>
      </c>
    </row>
    <row r="287" spans="1:19" ht="31.5" customHeight="1">
      <c r="A287" s="76" t="s">
        <v>294</v>
      </c>
      <c r="B287" s="76">
        <v>14</v>
      </c>
      <c r="C287" s="76" t="s">
        <v>384</v>
      </c>
      <c r="D287" s="77">
        <v>21571.76</v>
      </c>
      <c r="E287" s="33" t="s">
        <v>295</v>
      </c>
      <c r="F287" s="34">
        <v>21571.76</v>
      </c>
      <c r="G287" s="78">
        <f t="shared" si="31"/>
        <v>0</v>
      </c>
      <c r="H287" s="97" t="s">
        <v>331</v>
      </c>
      <c r="I287" s="104" t="s">
        <v>67</v>
      </c>
      <c r="J287" s="104" t="s">
        <v>297</v>
      </c>
      <c r="K287" s="105" t="s">
        <v>336</v>
      </c>
      <c r="L287" s="104">
        <v>1</v>
      </c>
      <c r="M287" s="106">
        <v>11555.32</v>
      </c>
      <c r="N287" s="106">
        <v>5760.44</v>
      </c>
      <c r="O287" s="106">
        <v>4903.92</v>
      </c>
      <c r="P287" s="106"/>
      <c r="Q287" s="106"/>
      <c r="R287" s="106">
        <f t="shared" si="33"/>
        <v>22219.68</v>
      </c>
      <c r="S287" s="29">
        <f t="shared" si="32"/>
        <v>-647.9200000000019</v>
      </c>
    </row>
    <row r="288" spans="1:19" ht="31.5" customHeight="1">
      <c r="A288" s="76" t="s">
        <v>294</v>
      </c>
      <c r="B288" s="76">
        <v>14</v>
      </c>
      <c r="C288" s="76" t="s">
        <v>384</v>
      </c>
      <c r="D288" s="77">
        <v>21571.76</v>
      </c>
      <c r="E288" s="33" t="s">
        <v>295</v>
      </c>
      <c r="F288" s="34">
        <v>21571.76</v>
      </c>
      <c r="G288" s="78">
        <f t="shared" si="31"/>
        <v>0</v>
      </c>
      <c r="H288" s="97" t="s">
        <v>331</v>
      </c>
      <c r="I288" s="104" t="s">
        <v>67</v>
      </c>
      <c r="J288" s="104" t="s">
        <v>297</v>
      </c>
      <c r="K288" s="105" t="s">
        <v>336</v>
      </c>
      <c r="L288" s="104">
        <v>1</v>
      </c>
      <c r="M288" s="106">
        <v>15996.54</v>
      </c>
      <c r="N288" s="106">
        <f>319.06+5410.02</f>
        <v>5729.080000000001</v>
      </c>
      <c r="O288" s="106"/>
      <c r="P288" s="106"/>
      <c r="Q288" s="106"/>
      <c r="R288" s="106">
        <f t="shared" si="33"/>
        <v>21725.620000000003</v>
      </c>
      <c r="S288" s="29">
        <f t="shared" si="32"/>
        <v>-153.86000000000422</v>
      </c>
    </row>
    <row r="289" spans="1:19" ht="31.5" customHeight="1">
      <c r="A289" s="76" t="s">
        <v>294</v>
      </c>
      <c r="B289" s="76">
        <v>14</v>
      </c>
      <c r="C289" s="76" t="s">
        <v>384</v>
      </c>
      <c r="D289" s="77">
        <v>21571.76</v>
      </c>
      <c r="E289" s="33" t="s">
        <v>295</v>
      </c>
      <c r="F289" s="34">
        <v>21571.76</v>
      </c>
      <c r="G289" s="78">
        <f t="shared" si="31"/>
        <v>0</v>
      </c>
      <c r="H289" s="97" t="s">
        <v>331</v>
      </c>
      <c r="I289" s="104" t="s">
        <v>67</v>
      </c>
      <c r="J289" s="104" t="s">
        <v>297</v>
      </c>
      <c r="K289" s="105" t="s">
        <v>336</v>
      </c>
      <c r="L289" s="104">
        <v>1</v>
      </c>
      <c r="M289" s="106">
        <v>15996.54</v>
      </c>
      <c r="N289" s="106">
        <f>319.06+5410.02</f>
        <v>5729.080000000001</v>
      </c>
      <c r="O289" s="106"/>
      <c r="P289" s="106"/>
      <c r="Q289" s="106"/>
      <c r="R289" s="106">
        <f t="shared" si="33"/>
        <v>21725.620000000003</v>
      </c>
      <c r="S289" s="29">
        <f t="shared" si="32"/>
        <v>-153.86000000000422</v>
      </c>
    </row>
    <row r="290" spans="1:19" ht="31.5" customHeight="1">
      <c r="A290" s="76" t="s">
        <v>294</v>
      </c>
      <c r="B290" s="76">
        <v>14</v>
      </c>
      <c r="C290" s="76" t="s">
        <v>384</v>
      </c>
      <c r="D290" s="77">
        <v>21571.76</v>
      </c>
      <c r="E290" s="33" t="s">
        <v>295</v>
      </c>
      <c r="F290" s="34">
        <v>21571.76</v>
      </c>
      <c r="G290" s="78">
        <f t="shared" si="31"/>
        <v>0</v>
      </c>
      <c r="H290" s="97" t="s">
        <v>331</v>
      </c>
      <c r="I290" s="104" t="s">
        <v>67</v>
      </c>
      <c r="J290" s="104" t="s">
        <v>297</v>
      </c>
      <c r="K290" s="105" t="s">
        <v>336</v>
      </c>
      <c r="L290" s="104">
        <v>1</v>
      </c>
      <c r="M290" s="106">
        <v>10630.2</v>
      </c>
      <c r="N290" s="106">
        <f>1276.94+2391.76</f>
        <v>3668.7000000000003</v>
      </c>
      <c r="O290" s="106">
        <v>6864.06</v>
      </c>
      <c r="P290" s="106"/>
      <c r="Q290" s="106">
        <v>488.46</v>
      </c>
      <c r="R290" s="106">
        <f t="shared" si="33"/>
        <v>21651.420000000002</v>
      </c>
      <c r="S290" s="29">
        <f t="shared" si="32"/>
        <v>-79.66000000000349</v>
      </c>
    </row>
    <row r="291" spans="1:19" ht="31.5" customHeight="1">
      <c r="A291" s="76" t="s">
        <v>294</v>
      </c>
      <c r="B291" s="76">
        <v>14</v>
      </c>
      <c r="C291" s="76" t="s">
        <v>384</v>
      </c>
      <c r="D291" s="77">
        <v>21571.76</v>
      </c>
      <c r="E291" s="33" t="s">
        <v>295</v>
      </c>
      <c r="F291" s="34">
        <v>21571.76</v>
      </c>
      <c r="G291" s="78">
        <f t="shared" si="31"/>
        <v>0</v>
      </c>
      <c r="H291" s="97" t="s">
        <v>331</v>
      </c>
      <c r="I291" s="104" t="s">
        <v>67</v>
      </c>
      <c r="J291" s="104" t="s">
        <v>297</v>
      </c>
      <c r="K291" s="105" t="s">
        <v>337</v>
      </c>
      <c r="L291" s="104">
        <v>1</v>
      </c>
      <c r="M291" s="106">
        <v>11555.32</v>
      </c>
      <c r="N291" s="106">
        <v>3921.96</v>
      </c>
      <c r="O291" s="106">
        <v>4903.92</v>
      </c>
      <c r="P291" s="106"/>
      <c r="Q291" s="106"/>
      <c r="R291" s="106">
        <f t="shared" si="33"/>
        <v>20381.199999999997</v>
      </c>
      <c r="S291" s="29">
        <f t="shared" si="32"/>
        <v>1190.5600000000013</v>
      </c>
    </row>
    <row r="292" spans="1:19" ht="31.5" customHeight="1">
      <c r="A292" s="76" t="s">
        <v>294</v>
      </c>
      <c r="B292" s="76">
        <v>14</v>
      </c>
      <c r="C292" s="76" t="s">
        <v>384</v>
      </c>
      <c r="D292" s="77">
        <v>21571.76</v>
      </c>
      <c r="E292" s="33" t="s">
        <v>295</v>
      </c>
      <c r="F292" s="34">
        <v>21571.76</v>
      </c>
      <c r="G292" s="78">
        <f t="shared" si="31"/>
        <v>0</v>
      </c>
      <c r="H292" s="97" t="s">
        <v>331</v>
      </c>
      <c r="I292" s="104" t="s">
        <v>67</v>
      </c>
      <c r="J292" s="104" t="s">
        <v>297</v>
      </c>
      <c r="K292" s="105" t="s">
        <v>337</v>
      </c>
      <c r="L292" s="104">
        <v>1</v>
      </c>
      <c r="M292" s="106">
        <v>11555.32</v>
      </c>
      <c r="N292" s="106">
        <v>3921.96</v>
      </c>
      <c r="O292" s="106">
        <v>4903.92</v>
      </c>
      <c r="P292" s="106"/>
      <c r="Q292" s="106"/>
      <c r="R292" s="106">
        <f t="shared" si="33"/>
        <v>20381.199999999997</v>
      </c>
      <c r="S292" s="29">
        <f t="shared" si="32"/>
        <v>1190.5600000000013</v>
      </c>
    </row>
    <row r="293" spans="1:19" ht="31.5" customHeight="1">
      <c r="A293" s="76" t="s">
        <v>294</v>
      </c>
      <c r="B293" s="76">
        <v>14</v>
      </c>
      <c r="C293" s="76" t="s">
        <v>384</v>
      </c>
      <c r="D293" s="77">
        <v>21571.76</v>
      </c>
      <c r="E293" s="33" t="s">
        <v>295</v>
      </c>
      <c r="F293" s="34">
        <v>21571.76</v>
      </c>
      <c r="G293" s="78">
        <f t="shared" si="31"/>
        <v>0</v>
      </c>
      <c r="H293" s="97" t="s">
        <v>331</v>
      </c>
      <c r="I293" s="104" t="s">
        <v>67</v>
      </c>
      <c r="J293" s="104" t="s">
        <v>297</v>
      </c>
      <c r="K293" s="105" t="s">
        <v>337</v>
      </c>
      <c r="L293" s="104">
        <v>1</v>
      </c>
      <c r="M293" s="106">
        <v>9444.54</v>
      </c>
      <c r="N293" s="106">
        <v>3331.86</v>
      </c>
      <c r="O293" s="106">
        <v>7524.02</v>
      </c>
      <c r="P293" s="106"/>
      <c r="Q293" s="106"/>
      <c r="R293" s="106">
        <f t="shared" si="33"/>
        <v>20300.420000000002</v>
      </c>
      <c r="S293" s="29">
        <f t="shared" si="32"/>
        <v>1271.3399999999965</v>
      </c>
    </row>
    <row r="294" spans="1:19" ht="31.5" customHeight="1">
      <c r="A294" s="76" t="s">
        <v>294</v>
      </c>
      <c r="B294" s="76">
        <v>14</v>
      </c>
      <c r="C294" s="76" t="s">
        <v>384</v>
      </c>
      <c r="D294" s="77">
        <v>21571.76</v>
      </c>
      <c r="E294" s="33" t="s">
        <v>295</v>
      </c>
      <c r="F294" s="34">
        <v>21571.76</v>
      </c>
      <c r="G294" s="78">
        <f t="shared" si="31"/>
        <v>0</v>
      </c>
      <c r="H294" s="97" t="s">
        <v>331</v>
      </c>
      <c r="I294" s="80" t="s">
        <v>104</v>
      </c>
      <c r="J294" s="80" t="s">
        <v>297</v>
      </c>
      <c r="K294" s="122" t="s">
        <v>309</v>
      </c>
      <c r="L294" s="80">
        <v>54</v>
      </c>
      <c r="M294" s="28">
        <v>15413.16</v>
      </c>
      <c r="N294" s="28">
        <f>417.2+104.58+260.54+1399.3+1473.22</f>
        <v>3654.84</v>
      </c>
      <c r="O294" s="28">
        <f>2909.48+179.2</f>
        <v>3088.68</v>
      </c>
      <c r="P294" s="28"/>
      <c r="Q294" s="28"/>
      <c r="R294" s="28">
        <f>M294+N294+O294+P294+Q294</f>
        <v>22156.68</v>
      </c>
      <c r="S294" s="29">
        <f t="shared" si="32"/>
        <v>-584.9200000000019</v>
      </c>
    </row>
    <row r="295" spans="1:19" ht="31.5" customHeight="1">
      <c r="A295" s="76" t="s">
        <v>294</v>
      </c>
      <c r="B295" s="76">
        <v>14</v>
      </c>
      <c r="C295" s="76" t="s">
        <v>384</v>
      </c>
      <c r="D295" s="77">
        <v>21571.76</v>
      </c>
      <c r="E295" s="33" t="s">
        <v>295</v>
      </c>
      <c r="F295" s="34">
        <v>21571.76</v>
      </c>
      <c r="G295" s="78">
        <f t="shared" si="31"/>
        <v>0</v>
      </c>
      <c r="H295" s="97" t="s">
        <v>331</v>
      </c>
      <c r="I295" s="80" t="s">
        <v>104</v>
      </c>
      <c r="J295" s="80" t="s">
        <v>297</v>
      </c>
      <c r="K295" s="122" t="s">
        <v>310</v>
      </c>
      <c r="L295" s="80">
        <v>17</v>
      </c>
      <c r="M295" s="155">
        <v>15413.16</v>
      </c>
      <c r="N295" s="28">
        <f>417.2+104.58+260.54+1399.3+1473.22</f>
        <v>3654.84</v>
      </c>
      <c r="O295" s="28">
        <f>2909.48+179.2</f>
        <v>3088.68</v>
      </c>
      <c r="P295" s="28"/>
      <c r="Q295" s="28"/>
      <c r="R295" s="28">
        <f>M295+N295+O295+P295+Q295</f>
        <v>22156.68</v>
      </c>
      <c r="S295" s="29">
        <f t="shared" si="32"/>
        <v>-584.9200000000019</v>
      </c>
    </row>
    <row r="296" spans="1:19" ht="31.5" customHeight="1">
      <c r="A296" s="76" t="s">
        <v>294</v>
      </c>
      <c r="B296" s="76">
        <v>14</v>
      </c>
      <c r="C296" s="76" t="s">
        <v>384</v>
      </c>
      <c r="D296" s="77">
        <v>21571.76</v>
      </c>
      <c r="E296" s="33" t="s">
        <v>338</v>
      </c>
      <c r="F296" s="34">
        <v>21571.76</v>
      </c>
      <c r="G296" s="78">
        <f t="shared" si="31"/>
        <v>0</v>
      </c>
      <c r="H296" s="109" t="s">
        <v>338</v>
      </c>
      <c r="I296" s="119" t="s">
        <v>100</v>
      </c>
      <c r="J296" s="80" t="s">
        <v>339</v>
      </c>
      <c r="K296" s="120" t="s">
        <v>340</v>
      </c>
      <c r="L296" s="80">
        <v>5</v>
      </c>
      <c r="M296" s="121">
        <v>19215.56</v>
      </c>
      <c r="N296" s="28">
        <v>835.8</v>
      </c>
      <c r="O296" s="28">
        <v>1759.52</v>
      </c>
      <c r="P296" s="28"/>
      <c r="Q296" s="28">
        <v>321.36</v>
      </c>
      <c r="R296" s="28">
        <f>M296+N296+O296+P296+Q296</f>
        <v>22132.24</v>
      </c>
      <c r="S296" s="29">
        <f t="shared" si="32"/>
        <v>-560.4800000000032</v>
      </c>
    </row>
    <row r="297" spans="1:19" ht="31.5" customHeight="1">
      <c r="A297" s="76" t="s">
        <v>294</v>
      </c>
      <c r="B297" s="76">
        <v>14</v>
      </c>
      <c r="C297" s="76" t="s">
        <v>384</v>
      </c>
      <c r="D297" s="77">
        <v>21571.76</v>
      </c>
      <c r="E297" s="33" t="s">
        <v>338</v>
      </c>
      <c r="F297" s="34">
        <v>21571.76</v>
      </c>
      <c r="G297" s="78">
        <f t="shared" si="31"/>
        <v>0</v>
      </c>
      <c r="H297" s="109" t="s">
        <v>338</v>
      </c>
      <c r="I297" s="119" t="s">
        <v>100</v>
      </c>
      <c r="J297" s="80" t="s">
        <v>339</v>
      </c>
      <c r="K297" s="120" t="s">
        <v>341</v>
      </c>
      <c r="L297" s="80">
        <v>23</v>
      </c>
      <c r="M297" s="121">
        <v>15813.28</v>
      </c>
      <c r="N297" s="28">
        <v>1024.94</v>
      </c>
      <c r="O297" s="28">
        <v>4950.82</v>
      </c>
      <c r="P297" s="28"/>
      <c r="Q297" s="28">
        <v>321.36</v>
      </c>
      <c r="R297" s="28">
        <f>M297+N297+O297+P297+Q297</f>
        <v>22110.4</v>
      </c>
      <c r="S297" s="29">
        <f t="shared" si="32"/>
        <v>-538.640000000003</v>
      </c>
    </row>
    <row r="298" spans="1:19" ht="31.5" customHeight="1">
      <c r="A298" s="83"/>
      <c r="B298" s="83"/>
      <c r="C298" s="85"/>
      <c r="D298" s="84"/>
      <c r="E298" s="86"/>
      <c r="F298" s="87"/>
      <c r="G298" s="84"/>
      <c r="H298" s="88"/>
      <c r="I298" s="88"/>
      <c r="J298" s="89"/>
      <c r="K298" s="88"/>
      <c r="L298" s="90"/>
      <c r="M298" s="90"/>
      <c r="N298" s="90"/>
      <c r="O298" s="90"/>
      <c r="P298" s="90"/>
      <c r="Q298" s="90"/>
      <c r="R298" s="91"/>
      <c r="S298" s="29"/>
    </row>
    <row r="299" ht="31.5" customHeight="1">
      <c r="S299" s="29"/>
    </row>
    <row r="300" spans="1:19" ht="31.5" customHeight="1">
      <c r="A300" s="16"/>
      <c r="B300" s="16"/>
      <c r="C300" s="2"/>
      <c r="D300" s="1"/>
      <c r="E300" s="71"/>
      <c r="F300" s="72"/>
      <c r="G300" s="72"/>
      <c r="H300" s="16"/>
      <c r="I300" s="8"/>
      <c r="J300" s="9"/>
      <c r="K300" s="9"/>
      <c r="L300" s="10"/>
      <c r="M300" s="9"/>
      <c r="N300" s="9"/>
      <c r="O300" s="9"/>
      <c r="P300" s="9"/>
      <c r="Q300" s="9"/>
      <c r="R300" s="9"/>
      <c r="S300" s="29"/>
    </row>
    <row r="301" spans="1:19" ht="31.5" customHeight="1">
      <c r="A301" s="16"/>
      <c r="B301" s="16"/>
      <c r="C301" s="2"/>
      <c r="D301" s="1"/>
      <c r="E301" s="71"/>
      <c r="F301" s="72"/>
      <c r="G301" s="72"/>
      <c r="H301" s="16"/>
      <c r="I301" s="8"/>
      <c r="J301" s="9"/>
      <c r="K301" s="9"/>
      <c r="L301" s="10"/>
      <c r="M301" s="9"/>
      <c r="N301" s="9"/>
      <c r="O301" s="9"/>
      <c r="P301" s="9"/>
      <c r="Q301" s="9"/>
      <c r="R301" s="9"/>
      <c r="S301" s="29"/>
    </row>
    <row r="302" spans="1:19" ht="31.5" customHeight="1">
      <c r="A302" s="110"/>
      <c r="B302" s="110"/>
      <c r="C302" s="110" t="s">
        <v>363</v>
      </c>
      <c r="D302" s="34" t="s">
        <v>77</v>
      </c>
      <c r="E302" s="70" t="s">
        <v>342</v>
      </c>
      <c r="F302" s="34" t="s">
        <v>78</v>
      </c>
      <c r="G302" s="34" t="s">
        <v>79</v>
      </c>
      <c r="H302" s="34" t="s">
        <v>80</v>
      </c>
      <c r="I302" s="80"/>
      <c r="J302" s="80"/>
      <c r="K302" s="81"/>
      <c r="L302" s="80"/>
      <c r="M302" s="28"/>
      <c r="N302" s="28"/>
      <c r="O302" s="28"/>
      <c r="P302" s="28"/>
      <c r="Q302" s="28"/>
      <c r="R302" s="28"/>
      <c r="S302" s="29"/>
    </row>
    <row r="303" spans="1:19" ht="31.5" customHeight="1">
      <c r="A303" s="16"/>
      <c r="B303" s="16"/>
      <c r="C303" s="2" t="s">
        <v>364</v>
      </c>
      <c r="D303" s="1" t="s">
        <v>16</v>
      </c>
      <c r="E303" s="71" t="s">
        <v>81</v>
      </c>
      <c r="F303" s="72" t="s">
        <v>82</v>
      </c>
      <c r="G303" s="72" t="s">
        <v>83</v>
      </c>
      <c r="H303" s="16"/>
      <c r="I303" s="8"/>
      <c r="J303" s="9"/>
      <c r="K303" s="9"/>
      <c r="L303" s="10"/>
      <c r="M303" s="9"/>
      <c r="N303" s="9"/>
      <c r="O303" s="9"/>
      <c r="P303" s="9"/>
      <c r="Q303" s="9"/>
      <c r="R303" s="9"/>
      <c r="S303" s="29"/>
    </row>
    <row r="304" spans="1:19" ht="31.5" customHeight="1">
      <c r="A304" s="16"/>
      <c r="B304" s="16"/>
      <c r="C304" s="2"/>
      <c r="D304" s="1" t="s">
        <v>93</v>
      </c>
      <c r="E304" s="71"/>
      <c r="F304" s="72"/>
      <c r="G304" s="72"/>
      <c r="H304" s="16"/>
      <c r="I304" s="8"/>
      <c r="J304" s="22"/>
      <c r="M304" s="73" t="s">
        <v>94</v>
      </c>
      <c r="R304" s="73" t="s">
        <v>95</v>
      </c>
      <c r="S304" s="29"/>
    </row>
    <row r="305" spans="1:19" s="102" customFormat="1" ht="31.5" customHeight="1">
      <c r="A305" s="92" t="s">
        <v>294</v>
      </c>
      <c r="B305" s="92">
        <v>18</v>
      </c>
      <c r="C305" s="92" t="s">
        <v>300</v>
      </c>
      <c r="D305" s="94">
        <v>23433.48</v>
      </c>
      <c r="E305" s="93" t="s">
        <v>343</v>
      </c>
      <c r="F305" s="95">
        <v>20465.34</v>
      </c>
      <c r="G305" s="96">
        <f>D305-F305</f>
        <v>2968.1399999999994</v>
      </c>
      <c r="H305" s="160" t="s">
        <v>344</v>
      </c>
      <c r="I305" s="100" t="s">
        <v>114</v>
      </c>
      <c r="J305" s="100" t="s">
        <v>345</v>
      </c>
      <c r="K305" s="147" t="s">
        <v>346</v>
      </c>
      <c r="L305" s="100">
        <v>1</v>
      </c>
      <c r="M305" s="101">
        <f>1278.01*14</f>
        <v>17892.14</v>
      </c>
      <c r="N305" s="101">
        <f>(139.27*14)+12*(88.43+103.5)</f>
        <v>4252.9400000000005</v>
      </c>
      <c r="O305" s="101"/>
      <c r="P305" s="101"/>
      <c r="Q305" s="101"/>
      <c r="R305" s="101">
        <f>SUM(M305:Q305)</f>
        <v>22145.08</v>
      </c>
      <c r="S305" s="29">
        <f>D305-R305</f>
        <v>1288.3999999999978</v>
      </c>
    </row>
    <row r="306" spans="1:19" s="102" customFormat="1" ht="31.5" customHeight="1">
      <c r="A306" s="83"/>
      <c r="B306" s="83"/>
      <c r="C306" s="85"/>
      <c r="D306" s="84"/>
      <c r="E306" s="86"/>
      <c r="F306" s="87"/>
      <c r="G306" s="84"/>
      <c r="H306" s="88"/>
      <c r="I306" s="88"/>
      <c r="J306" s="89"/>
      <c r="K306" s="88"/>
      <c r="L306" s="90"/>
      <c r="M306" s="90"/>
      <c r="N306" s="90"/>
      <c r="O306" s="90"/>
      <c r="P306" s="90"/>
      <c r="Q306" s="90"/>
      <c r="R306" s="91"/>
      <c r="S306" s="29"/>
    </row>
    <row r="307" spans="1:19" s="102" customFormat="1" ht="31.5" customHeight="1">
      <c r="A307" s="92" t="s">
        <v>0</v>
      </c>
      <c r="B307" s="92">
        <v>13</v>
      </c>
      <c r="C307" s="92" t="s">
        <v>385</v>
      </c>
      <c r="D307" s="94">
        <v>20465.34</v>
      </c>
      <c r="E307" s="93" t="s">
        <v>343</v>
      </c>
      <c r="F307" s="95">
        <v>20465.34</v>
      </c>
      <c r="G307" s="96">
        <f aca="true" t="shared" si="34" ref="G307:G313">D307-F307</f>
        <v>0</v>
      </c>
      <c r="H307" s="93" t="s">
        <v>343</v>
      </c>
      <c r="I307" s="100" t="s">
        <v>114</v>
      </c>
      <c r="J307" s="100" t="s">
        <v>345</v>
      </c>
      <c r="K307" s="147" t="s">
        <v>347</v>
      </c>
      <c r="L307" s="100">
        <v>5</v>
      </c>
      <c r="M307" s="101">
        <f>1278.01*14</f>
        <v>17892.14</v>
      </c>
      <c r="N307" s="101">
        <f>(87.03*14)+12*(88.43+103.5)</f>
        <v>3521.58</v>
      </c>
      <c r="O307" s="101"/>
      <c r="P307" s="101"/>
      <c r="Q307" s="101"/>
      <c r="R307" s="101">
        <f>SUM(M307:Q307)</f>
        <v>21413.72</v>
      </c>
      <c r="S307" s="29">
        <f aca="true" t="shared" si="35" ref="S307:S313">D307-R307</f>
        <v>-948.380000000001</v>
      </c>
    </row>
    <row r="308" spans="1:19" s="102" customFormat="1" ht="31.5" customHeight="1">
      <c r="A308" s="92" t="s">
        <v>0</v>
      </c>
      <c r="B308" s="92">
        <v>13</v>
      </c>
      <c r="C308" s="92" t="s">
        <v>385</v>
      </c>
      <c r="D308" s="94">
        <v>20465.34</v>
      </c>
      <c r="E308" s="93" t="s">
        <v>343</v>
      </c>
      <c r="F308" s="95">
        <v>20465.34</v>
      </c>
      <c r="G308" s="96">
        <f t="shared" si="34"/>
        <v>0</v>
      </c>
      <c r="H308" s="93" t="s">
        <v>343</v>
      </c>
      <c r="I308" s="100" t="s">
        <v>114</v>
      </c>
      <c r="J308" s="100" t="s">
        <v>345</v>
      </c>
      <c r="K308" s="147" t="s">
        <v>386</v>
      </c>
      <c r="L308" s="100">
        <v>15</v>
      </c>
      <c r="M308" s="101">
        <f>1278.01*14</f>
        <v>17892.14</v>
      </c>
      <c r="N308" s="101">
        <f>(93.66+10.63+11.2+103.5)*12</f>
        <v>2627.88</v>
      </c>
      <c r="O308" s="101"/>
      <c r="P308" s="101"/>
      <c r="Q308" s="101"/>
      <c r="R308" s="101">
        <f>SUM(M308:Q308)</f>
        <v>20520.02</v>
      </c>
      <c r="S308" s="29">
        <f t="shared" si="35"/>
        <v>-54.68000000000029</v>
      </c>
    </row>
    <row r="309" spans="1:19" ht="31.5" customHeight="1">
      <c r="A309" s="76" t="s">
        <v>0</v>
      </c>
      <c r="B309" s="76">
        <v>13</v>
      </c>
      <c r="C309" s="76" t="s">
        <v>385</v>
      </c>
      <c r="D309" s="77">
        <v>20465.34</v>
      </c>
      <c r="E309" s="33" t="s">
        <v>343</v>
      </c>
      <c r="F309" s="34">
        <v>20465.34</v>
      </c>
      <c r="G309" s="78">
        <f t="shared" si="34"/>
        <v>0</v>
      </c>
      <c r="H309" s="93" t="s">
        <v>343</v>
      </c>
      <c r="I309" s="119" t="s">
        <v>100</v>
      </c>
      <c r="J309" s="80" t="s">
        <v>345</v>
      </c>
      <c r="K309" s="120" t="s">
        <v>348</v>
      </c>
      <c r="L309" s="80">
        <v>2</v>
      </c>
      <c r="M309" s="121">
        <v>17906.14</v>
      </c>
      <c r="N309" s="28">
        <v>899.64</v>
      </c>
      <c r="O309" s="28">
        <v>770</v>
      </c>
      <c r="P309" s="28"/>
      <c r="Q309" s="28">
        <v>321.36</v>
      </c>
      <c r="R309" s="28">
        <f>M309+N309+O309+P309+Q309</f>
        <v>19897.14</v>
      </c>
      <c r="S309" s="29">
        <f t="shared" si="35"/>
        <v>568.2000000000007</v>
      </c>
    </row>
    <row r="310" spans="1:19" ht="31.5" customHeight="1">
      <c r="A310" s="76" t="s">
        <v>0</v>
      </c>
      <c r="B310" s="76">
        <v>13</v>
      </c>
      <c r="C310" s="76" t="s">
        <v>385</v>
      </c>
      <c r="D310" s="77">
        <v>20465.34</v>
      </c>
      <c r="E310" s="33" t="s">
        <v>343</v>
      </c>
      <c r="F310" s="34">
        <v>20465.34</v>
      </c>
      <c r="G310" s="78">
        <f t="shared" si="34"/>
        <v>0</v>
      </c>
      <c r="H310" s="93" t="s">
        <v>343</v>
      </c>
      <c r="I310" s="80" t="s">
        <v>128</v>
      </c>
      <c r="J310" s="80" t="s">
        <v>345</v>
      </c>
      <c r="K310" s="146" t="s">
        <v>349</v>
      </c>
      <c r="L310" s="119">
        <v>2</v>
      </c>
      <c r="M310" s="121">
        <f>791.95*14</f>
        <v>11087.300000000001</v>
      </c>
      <c r="N310" s="121">
        <f>44.85*14+50.36*14+63.26*14+66.6*14</f>
        <v>3150.9799999999996</v>
      </c>
      <c r="O310" s="121">
        <f>395.41*14</f>
        <v>5535.740000000001</v>
      </c>
      <c r="P310" s="121"/>
      <c r="Q310" s="121"/>
      <c r="R310" s="121">
        <f>M310+N310+O310+P310+Q310</f>
        <v>19774.02</v>
      </c>
      <c r="S310" s="29">
        <f t="shared" si="35"/>
        <v>691.3199999999997</v>
      </c>
    </row>
    <row r="311" spans="1:19" ht="31.5" customHeight="1">
      <c r="A311" s="76" t="s">
        <v>0</v>
      </c>
      <c r="B311" s="76">
        <v>13</v>
      </c>
      <c r="C311" s="76" t="s">
        <v>385</v>
      </c>
      <c r="D311" s="77">
        <v>20465.34</v>
      </c>
      <c r="E311" s="33" t="s">
        <v>343</v>
      </c>
      <c r="F311" s="34">
        <v>20465.34</v>
      </c>
      <c r="G311" s="78">
        <f t="shared" si="34"/>
        <v>0</v>
      </c>
      <c r="H311" s="93" t="s">
        <v>343</v>
      </c>
      <c r="I311" s="104" t="s">
        <v>67</v>
      </c>
      <c r="J311" s="104" t="s">
        <v>345</v>
      </c>
      <c r="K311" s="105" t="s">
        <v>349</v>
      </c>
      <c r="L311" s="104">
        <v>1</v>
      </c>
      <c r="M311" s="106">
        <v>9618.14</v>
      </c>
      <c r="N311" s="106">
        <v>4152.82</v>
      </c>
      <c r="O311" s="106">
        <v>6642.02</v>
      </c>
      <c r="P311" s="106"/>
      <c r="Q311" s="106"/>
      <c r="R311" s="106">
        <f>SUM(M311:Q311)</f>
        <v>20412.98</v>
      </c>
      <c r="S311" s="29">
        <f t="shared" si="35"/>
        <v>52.36000000000058</v>
      </c>
    </row>
    <row r="312" spans="1:19" ht="31.5" customHeight="1">
      <c r="A312" s="76" t="s">
        <v>0</v>
      </c>
      <c r="B312" s="76">
        <v>13</v>
      </c>
      <c r="C312" s="76" t="s">
        <v>385</v>
      </c>
      <c r="D312" s="77">
        <v>20465.34</v>
      </c>
      <c r="E312" s="33" t="s">
        <v>343</v>
      </c>
      <c r="F312" s="34">
        <v>20465.34</v>
      </c>
      <c r="G312" s="78">
        <f t="shared" si="34"/>
        <v>0</v>
      </c>
      <c r="H312" s="93" t="s">
        <v>343</v>
      </c>
      <c r="I312" s="104" t="s">
        <v>67</v>
      </c>
      <c r="J312" s="104" t="s">
        <v>345</v>
      </c>
      <c r="K312" s="105" t="s">
        <v>349</v>
      </c>
      <c r="L312" s="104">
        <v>1</v>
      </c>
      <c r="M312" s="106">
        <v>10603.88</v>
      </c>
      <c r="N312" s="106">
        <f>2807+1931.86</f>
        <v>4738.86</v>
      </c>
      <c r="O312" s="106">
        <v>4885.72</v>
      </c>
      <c r="P312" s="106"/>
      <c r="Q312" s="106"/>
      <c r="R312" s="106">
        <f>SUM(M312:Q312)</f>
        <v>20228.46</v>
      </c>
      <c r="S312" s="29">
        <f t="shared" si="35"/>
        <v>236.88000000000102</v>
      </c>
    </row>
    <row r="313" spans="1:19" ht="31.5" customHeight="1">
      <c r="A313" s="76" t="s">
        <v>0</v>
      </c>
      <c r="B313" s="76">
        <v>13</v>
      </c>
      <c r="C313" s="76" t="s">
        <v>385</v>
      </c>
      <c r="D313" s="77">
        <v>20465.34</v>
      </c>
      <c r="E313" s="33" t="s">
        <v>343</v>
      </c>
      <c r="F313" s="34">
        <v>20465.34</v>
      </c>
      <c r="G313" s="78">
        <f t="shared" si="34"/>
        <v>0</v>
      </c>
      <c r="H313" s="93" t="s">
        <v>343</v>
      </c>
      <c r="I313" s="104" t="s">
        <v>67</v>
      </c>
      <c r="J313" s="104" t="s">
        <v>345</v>
      </c>
      <c r="K313" s="105" t="s">
        <v>349</v>
      </c>
      <c r="L313" s="104">
        <v>1</v>
      </c>
      <c r="M313" s="106">
        <v>7341.32</v>
      </c>
      <c r="N313" s="106">
        <f>2085.02+2505.16</f>
        <v>4590.18</v>
      </c>
      <c r="O313" s="106">
        <v>7732.34</v>
      </c>
      <c r="P313" s="106"/>
      <c r="Q313" s="106">
        <v>511.7</v>
      </c>
      <c r="R313" s="106">
        <f>SUM(M313:Q313)</f>
        <v>20175.54</v>
      </c>
      <c r="S313" s="29">
        <f t="shared" si="35"/>
        <v>289.7999999999993</v>
      </c>
    </row>
    <row r="314" spans="1:19" ht="31.5" customHeight="1">
      <c r="A314" s="83"/>
      <c r="B314" s="83"/>
      <c r="C314" s="85"/>
      <c r="D314" s="84"/>
      <c r="E314" s="86"/>
      <c r="F314" s="87"/>
      <c r="G314" s="84"/>
      <c r="H314" s="88"/>
      <c r="I314" s="88"/>
      <c r="J314" s="89"/>
      <c r="K314" s="88"/>
      <c r="L314" s="90"/>
      <c r="M314" s="90"/>
      <c r="N314" s="90"/>
      <c r="O314" s="90"/>
      <c r="P314" s="90"/>
      <c r="Q314" s="90"/>
      <c r="R314" s="91"/>
      <c r="S314" s="29"/>
    </row>
    <row r="315" spans="1:19" ht="31.5" customHeight="1">
      <c r="A315" s="76" t="s">
        <v>0</v>
      </c>
      <c r="B315" s="76">
        <v>13</v>
      </c>
      <c r="C315" s="76" t="s">
        <v>385</v>
      </c>
      <c r="D315" s="77">
        <v>20465.34</v>
      </c>
      <c r="E315" s="33" t="s">
        <v>350</v>
      </c>
      <c r="F315" s="34">
        <v>20465.34</v>
      </c>
      <c r="G315" s="78">
        <f aca="true" t="shared" si="36" ref="G315:G322">D315-F315</f>
        <v>0</v>
      </c>
      <c r="H315" s="33" t="s">
        <v>350</v>
      </c>
      <c r="I315" s="80" t="s">
        <v>104</v>
      </c>
      <c r="J315" s="80" t="s">
        <v>316</v>
      </c>
      <c r="K315" s="122" t="s">
        <v>351</v>
      </c>
      <c r="L315" s="80">
        <v>4</v>
      </c>
      <c r="M315" s="28">
        <v>15413.16</v>
      </c>
      <c r="N315" s="28">
        <f>417.2+104.58+260.54+621.32+654.08</f>
        <v>2057.72</v>
      </c>
      <c r="O315" s="28">
        <f>2909.48+179.2</f>
        <v>3088.68</v>
      </c>
      <c r="P315" s="28"/>
      <c r="Q315" s="28"/>
      <c r="R315" s="28">
        <f>M315+N315+O315+P315+Q315</f>
        <v>20559.56</v>
      </c>
      <c r="S315" s="29">
        <f aca="true" t="shared" si="37" ref="S315:S322">D315-R315</f>
        <v>-94.22000000000116</v>
      </c>
    </row>
    <row r="316" spans="1:19" ht="31.5" customHeight="1">
      <c r="A316" s="76" t="s">
        <v>0</v>
      </c>
      <c r="B316" s="76">
        <v>13</v>
      </c>
      <c r="C316" s="76" t="s">
        <v>385</v>
      </c>
      <c r="D316" s="77">
        <v>20465.34</v>
      </c>
      <c r="E316" s="33" t="s">
        <v>350</v>
      </c>
      <c r="F316" s="34">
        <v>20465.34</v>
      </c>
      <c r="G316" s="78">
        <f t="shared" si="36"/>
        <v>0</v>
      </c>
      <c r="H316" s="33" t="s">
        <v>350</v>
      </c>
      <c r="I316" s="119" t="s">
        <v>100</v>
      </c>
      <c r="J316" s="80" t="s">
        <v>316</v>
      </c>
      <c r="K316" s="120" t="s">
        <v>317</v>
      </c>
      <c r="L316" s="80">
        <v>2</v>
      </c>
      <c r="M316" s="121">
        <v>17906.14</v>
      </c>
      <c r="N316" s="28">
        <v>899.64</v>
      </c>
      <c r="O316" s="28">
        <v>1399.44</v>
      </c>
      <c r="P316" s="28"/>
      <c r="Q316" s="28">
        <v>321.36</v>
      </c>
      <c r="R316" s="28">
        <f>M316+N316+O316+P316+Q316</f>
        <v>20526.579999999998</v>
      </c>
      <c r="S316" s="29">
        <f t="shared" si="37"/>
        <v>-61.23999999999796</v>
      </c>
    </row>
    <row r="317" spans="1:19" ht="31.5" customHeight="1">
      <c r="A317" s="76" t="s">
        <v>0</v>
      </c>
      <c r="B317" s="76">
        <v>13</v>
      </c>
      <c r="C317" s="76" t="s">
        <v>385</v>
      </c>
      <c r="D317" s="77">
        <v>20465.34</v>
      </c>
      <c r="E317" s="33" t="s">
        <v>350</v>
      </c>
      <c r="F317" s="34">
        <v>20465.34</v>
      </c>
      <c r="G317" s="78">
        <f t="shared" si="36"/>
        <v>0</v>
      </c>
      <c r="H317" s="33" t="s">
        <v>350</v>
      </c>
      <c r="I317" s="119" t="s">
        <v>100</v>
      </c>
      <c r="J317" s="80" t="s">
        <v>316</v>
      </c>
      <c r="K317" s="120" t="s">
        <v>352</v>
      </c>
      <c r="L317" s="80">
        <v>3</v>
      </c>
      <c r="M317" s="121">
        <v>17906.14</v>
      </c>
      <c r="N317" s="28">
        <v>899.64</v>
      </c>
      <c r="O317" s="28">
        <v>1399.44</v>
      </c>
      <c r="P317" s="28"/>
      <c r="Q317" s="28">
        <v>321.36</v>
      </c>
      <c r="R317" s="28">
        <f>M317+N317+O317+P317+Q317</f>
        <v>20526.579999999998</v>
      </c>
      <c r="S317" s="29">
        <f t="shared" si="37"/>
        <v>-61.23999999999796</v>
      </c>
    </row>
    <row r="318" spans="1:19" ht="31.5" customHeight="1">
      <c r="A318" s="76" t="s">
        <v>0</v>
      </c>
      <c r="B318" s="76">
        <v>13</v>
      </c>
      <c r="C318" s="76" t="s">
        <v>385</v>
      </c>
      <c r="D318" s="77">
        <v>20465.34</v>
      </c>
      <c r="E318" s="33" t="s">
        <v>350</v>
      </c>
      <c r="F318" s="34">
        <v>20465.34</v>
      </c>
      <c r="G318" s="78">
        <f t="shared" si="36"/>
        <v>0</v>
      </c>
      <c r="H318" s="33" t="s">
        <v>350</v>
      </c>
      <c r="I318" s="80" t="s">
        <v>117</v>
      </c>
      <c r="J318" s="80" t="s">
        <v>316</v>
      </c>
      <c r="K318" s="108" t="s">
        <v>353</v>
      </c>
      <c r="L318" s="80">
        <f>748+150.1</f>
        <v>898.1</v>
      </c>
      <c r="M318" s="28">
        <f>1164.83*14</f>
        <v>16307.619999999999</v>
      </c>
      <c r="N318" s="28">
        <f>53.45*12+22.79*14+109.61*12</f>
        <v>2275.7799999999997</v>
      </c>
      <c r="O318" s="28">
        <f>136.5*14</f>
        <v>1911</v>
      </c>
      <c r="P318" s="28"/>
      <c r="Q318" s="28"/>
      <c r="R318" s="28">
        <f>M318+N318+O318+P318+Q318</f>
        <v>20494.399999999998</v>
      </c>
      <c r="S318" s="29">
        <f t="shared" si="37"/>
        <v>-29.05999999999767</v>
      </c>
    </row>
    <row r="319" spans="1:19" ht="31.5" customHeight="1">
      <c r="A319" s="76" t="s">
        <v>0</v>
      </c>
      <c r="B319" s="76">
        <v>13</v>
      </c>
      <c r="C319" s="76" t="s">
        <v>385</v>
      </c>
      <c r="D319" s="77">
        <v>20465.34</v>
      </c>
      <c r="E319" s="33" t="s">
        <v>350</v>
      </c>
      <c r="F319" s="34">
        <v>20465.34</v>
      </c>
      <c r="G319" s="78">
        <f t="shared" si="36"/>
        <v>0</v>
      </c>
      <c r="H319" s="33" t="s">
        <v>350</v>
      </c>
      <c r="I319" s="131" t="s">
        <v>104</v>
      </c>
      <c r="J319" s="131" t="s">
        <v>316</v>
      </c>
      <c r="K319" s="122" t="s">
        <v>354</v>
      </c>
      <c r="L319" s="80">
        <v>1</v>
      </c>
      <c r="M319" s="28">
        <v>13657.84</v>
      </c>
      <c r="N319" s="28">
        <f>479.64+91.84+226.52+1447.6+1524.18</f>
        <v>3769.7799999999997</v>
      </c>
      <c r="O319" s="28">
        <f>3060.12</f>
        <v>3060.12</v>
      </c>
      <c r="P319" s="28"/>
      <c r="Q319" s="28"/>
      <c r="R319" s="28">
        <f>M319+N319+O319+P319+Q319</f>
        <v>20487.739999999998</v>
      </c>
      <c r="S319" s="29">
        <f t="shared" si="37"/>
        <v>-22.399999999997817</v>
      </c>
    </row>
    <row r="320" spans="1:19" ht="31.5" customHeight="1">
      <c r="A320" s="76" t="s">
        <v>0</v>
      </c>
      <c r="B320" s="76">
        <v>13</v>
      </c>
      <c r="C320" s="76" t="s">
        <v>385</v>
      </c>
      <c r="D320" s="77">
        <v>20465.34</v>
      </c>
      <c r="E320" s="33" t="s">
        <v>350</v>
      </c>
      <c r="F320" s="34">
        <v>20465.34</v>
      </c>
      <c r="G320" s="78">
        <f t="shared" si="36"/>
        <v>0</v>
      </c>
      <c r="H320" s="33" t="s">
        <v>350</v>
      </c>
      <c r="I320" s="104" t="s">
        <v>67</v>
      </c>
      <c r="J320" s="104" t="s">
        <v>316</v>
      </c>
      <c r="K320" s="105" t="s">
        <v>355</v>
      </c>
      <c r="L320" s="104">
        <v>1</v>
      </c>
      <c r="M320" s="106">
        <v>15996.54</v>
      </c>
      <c r="N320" s="106">
        <f>319.06+6955.62</f>
        <v>7274.68</v>
      </c>
      <c r="O320" s="106">
        <v>2980.6</v>
      </c>
      <c r="P320" s="106"/>
      <c r="Q320" s="106"/>
      <c r="R320" s="106">
        <f>SUM(M320:Q320)</f>
        <v>26251.82</v>
      </c>
      <c r="S320" s="29">
        <f t="shared" si="37"/>
        <v>-5786.48</v>
      </c>
    </row>
    <row r="321" spans="1:19" ht="31.5" customHeight="1">
      <c r="A321" s="76" t="s">
        <v>0</v>
      </c>
      <c r="B321" s="76">
        <v>13</v>
      </c>
      <c r="C321" s="76" t="s">
        <v>385</v>
      </c>
      <c r="D321" s="77">
        <v>20465.34</v>
      </c>
      <c r="E321" s="33" t="s">
        <v>350</v>
      </c>
      <c r="F321" s="34">
        <v>20465.34</v>
      </c>
      <c r="G321" s="78">
        <f t="shared" si="36"/>
        <v>0</v>
      </c>
      <c r="H321" s="33" t="s">
        <v>350</v>
      </c>
      <c r="I321" s="104" t="s">
        <v>67</v>
      </c>
      <c r="J321" s="104" t="s">
        <v>316</v>
      </c>
      <c r="K321" s="105" t="s">
        <v>355</v>
      </c>
      <c r="L321" s="104">
        <v>1</v>
      </c>
      <c r="M321" s="106">
        <v>15996.54</v>
      </c>
      <c r="N321" s="106">
        <f>319.06+6955.62</f>
        <v>7274.68</v>
      </c>
      <c r="O321" s="106">
        <v>2980.6</v>
      </c>
      <c r="P321" s="106"/>
      <c r="Q321" s="106"/>
      <c r="R321" s="106">
        <f>SUM(M321:Q321)</f>
        <v>26251.82</v>
      </c>
      <c r="S321" s="29">
        <f t="shared" si="37"/>
        <v>-5786.48</v>
      </c>
    </row>
    <row r="322" spans="1:19" ht="31.5" customHeight="1">
      <c r="A322" s="76" t="s">
        <v>0</v>
      </c>
      <c r="B322" s="76">
        <v>13</v>
      </c>
      <c r="C322" s="76" t="s">
        <v>385</v>
      </c>
      <c r="D322" s="77">
        <v>20465.34</v>
      </c>
      <c r="E322" s="33" t="s">
        <v>350</v>
      </c>
      <c r="F322" s="34">
        <v>20465.34</v>
      </c>
      <c r="G322" s="78">
        <f t="shared" si="36"/>
        <v>0</v>
      </c>
      <c r="H322" s="33" t="s">
        <v>350</v>
      </c>
      <c r="I322" s="104" t="s">
        <v>67</v>
      </c>
      <c r="J322" s="104" t="s">
        <v>316</v>
      </c>
      <c r="K322" s="105" t="s">
        <v>355</v>
      </c>
      <c r="L322" s="104">
        <v>1</v>
      </c>
      <c r="M322" s="106">
        <v>15996.54</v>
      </c>
      <c r="N322" s="106">
        <f>47.88+6955.62</f>
        <v>7003.5</v>
      </c>
      <c r="O322" s="106">
        <v>2980.6</v>
      </c>
      <c r="P322" s="106"/>
      <c r="Q322" s="106"/>
      <c r="R322" s="106">
        <f>SUM(M322:Q322)</f>
        <v>25980.64</v>
      </c>
      <c r="S322" s="29">
        <f t="shared" si="37"/>
        <v>-5515.299999999999</v>
      </c>
    </row>
    <row r="323" ht="31.5" customHeight="1">
      <c r="C323" s="76"/>
    </row>
    <row r="324" ht="31.5" customHeight="1">
      <c r="C324" s="76"/>
    </row>
    <row r="325" ht="15">
      <c r="L325" s="73">
        <f>SUM(L42:L324)</f>
        <v>3412.24</v>
      </c>
    </row>
  </sheetData>
  <sheetProtection/>
  <mergeCells count="14">
    <mergeCell ref="D3:G4"/>
    <mergeCell ref="P2:P5"/>
    <mergeCell ref="Q2:Q5"/>
    <mergeCell ref="R2:R5"/>
    <mergeCell ref="H158:H163"/>
    <mergeCell ref="M22:M26"/>
    <mergeCell ref="R22:R26"/>
    <mergeCell ref="R14:R20"/>
    <mergeCell ref="Q14:Q20"/>
    <mergeCell ref="R7:R12"/>
    <mergeCell ref="Q7:Q12"/>
    <mergeCell ref="P7:P12"/>
    <mergeCell ref="C9:H33"/>
    <mergeCell ref="R28:R34"/>
  </mergeCells>
  <printOptions gridLines="1"/>
  <pageMargins left="0.75" right="0.75" top="1" bottom="1" header="0" footer="0"/>
  <pageSetup fitToHeight="8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GARCIA LOPEZ</dc:creator>
  <cp:keywords/>
  <dc:description/>
  <cp:lastModifiedBy>007</cp:lastModifiedBy>
  <dcterms:created xsi:type="dcterms:W3CDTF">2009-10-26T08:46:59Z</dcterms:created>
  <dcterms:modified xsi:type="dcterms:W3CDTF">2009-11-06T19:29:31Z</dcterms:modified>
  <cp:category/>
  <cp:version/>
  <cp:contentType/>
  <cp:contentStatus/>
</cp:coreProperties>
</file>